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9320" windowHeight="13620" tabRatio="686" activeTab="0"/>
  </bookViews>
  <sheets>
    <sheet name="Highlights" sheetId="1" r:id="rId1"/>
    <sheet name="Subscriptions" sheetId="2" r:id="rId2"/>
    <sheet name="Subscription costs" sheetId="3" r:id="rId3"/>
    <sheet name="Xfers per sub" sheetId="4" r:id="rId4"/>
    <sheet name="Files per year" sheetId="5" r:id="rId5"/>
    <sheet name="ZF size" sheetId="6" r:id="rId6"/>
    <sheet name="gBytes per year" sheetId="7" r:id="rId7"/>
    <sheet name="Xfer &amp; Storage Cost" sheetId="8" r:id="rId8"/>
  </sheets>
  <definedNames/>
  <calcPr fullCalcOnLoad="1"/>
</workbook>
</file>

<file path=xl/sharedStrings.xml><?xml version="1.0" encoding="utf-8"?>
<sst xmlns="http://schemas.openxmlformats.org/spreadsheetml/2006/main" count="686" uniqueCount="199">
  <si>
    <t>Click on the cell to get a drop-down list</t>
  </si>
  <si>
    <t>No DNSSEC</t>
  </si>
  <si>
    <t>No DNSSEC</t>
  </si>
  <si>
    <t>Establishing a contract</t>
  </si>
  <si>
    <t>Establishing account credentials</t>
  </si>
  <si>
    <t>Setting up and testing connection</t>
  </si>
  <si>
    <t>Monitoring activity and use</t>
  </si>
  <si>
    <t>Coping with changes</t>
  </si>
  <si>
    <t>Examples of activities;</t>
  </si>
  <si>
    <t>Volumes and costs by participant</t>
  </si>
  <si>
    <t>Calculation -- Avg. annual subscriptions per consumer</t>
  </si>
  <si>
    <t>Calculation -- Avg. annual subscriptions per provider</t>
  </si>
  <si>
    <t>Today</t>
  </si>
  <si>
    <t>Projected</t>
  </si>
  <si>
    <t>.COM/.NET</t>
  </si>
  <si>
    <t>Consumers</t>
  </si>
  <si>
    <t>Registries</t>
  </si>
  <si>
    <t>average registry and consumer</t>
  </si>
  <si>
    <t>Basis for file transfer costs</t>
  </si>
  <si>
    <t>Today</t>
  </si>
  <si>
    <t>Consumers</t>
  </si>
  <si>
    <t>Calculation -- Avg. files per provider per year</t>
  </si>
  <si>
    <t>Calculation -- Avg. files per consumer per year</t>
  </si>
  <si>
    <t>Calculation -- Avg. annual subscription-maint. cost per consumer</t>
  </si>
  <si>
    <t>Calculation -- Avg. annual subscription-maintenance per provider</t>
  </si>
  <si>
    <t>Bytes/domain in ZF (base number, presumes gZipped file)</t>
  </si>
  <si>
    <t>Bytes/domain added by DNSSEC (complete guess, needs improvement)</t>
  </si>
  <si>
    <t>Aggregator</t>
  </si>
  <si>
    <t>Max. domains per registry</t>
  </si>
  <si>
    <t>Consumers</t>
  </si>
  <si>
    <t>.COM/.NET</t>
  </si>
  <si>
    <t>Total volumes and costs across all participants</t>
  </si>
  <si>
    <t>purposes.</t>
  </si>
  <si>
    <t>Make your choice here</t>
  </si>
  <si>
    <t>1 file per day</t>
  </si>
  <si>
    <t>1 file per day</t>
  </si>
  <si>
    <t>1 file/zone/day</t>
  </si>
  <si>
    <t>(click on the cell to get</t>
  </si>
  <si>
    <t>a list of choices)</t>
  </si>
  <si>
    <t xml:space="preserve">1 file/day would greatly </t>
  </si>
  <si>
    <t xml:space="preserve">reduce the number of </t>
  </si>
  <si>
    <t xml:space="preserve">files, 1 file/zone/day </t>
  </si>
  <si>
    <t>slightly increases the</t>
  </si>
  <si>
    <t>total (to account for</t>
  </si>
  <si>
    <t>the addition of transfers</t>
  </si>
  <si>
    <t>cost calculations - assumed that</t>
  </si>
  <si>
    <t>registries would have no incremental</t>
  </si>
  <si>
    <t>storage costs)</t>
  </si>
  <si>
    <t>Assumption - months that Consumers</t>
  </si>
  <si>
    <t>Cost of transferring and</t>
  </si>
  <si>
    <t>store copies of downloaded zone</t>
  </si>
  <si>
    <t xml:space="preserve">files (don't reduce to zero - use a </t>
  </si>
  <si>
    <t>fraction to express time &lt; 1 month)</t>
  </si>
  <si>
    <t>Assumptions -- Incremental transfer and storage costs</t>
  </si>
  <si>
    <t>Calculation -- Avg. cost of transfer and storage per year per consumer</t>
  </si>
  <si>
    <t>(any other ideas?)</t>
  </si>
  <si>
    <t>Labor rate/hr (loaded)</t>
  </si>
  <si>
    <t>Total hours</t>
  </si>
  <si>
    <t>Hours/yr</t>
  </si>
  <si>
    <t>Cost per subscription</t>
  </si>
  <si>
    <t>to touch a subscription" assumption. The model will pay attention</t>
  </si>
  <si>
    <t>Assumption</t>
  </si>
  <si>
    <t>Weekly cost</t>
  </si>
  <si>
    <t>of delay</t>
  </si>
  <si>
    <t>Assumptions --  Costs to maintain a single subscription, per year</t>
  </si>
  <si>
    <t xml:space="preserve">Scroll down on the page to see breakouts for </t>
  </si>
  <si>
    <t>Note: this top section summarizes totals for all participants.</t>
  </si>
  <si>
    <t>Annual subscription-related costs</t>
  </si>
  <si>
    <t>TRANSFER and STORAGE costs</t>
  </si>
  <si>
    <t xml:space="preserve">Scroll further down on the page to see breakouts for </t>
  </si>
  <si>
    <t>Annual transfer and storage-related costs</t>
  </si>
  <si>
    <t>Toggle to turn DNSSEC on and off</t>
  </si>
  <si>
    <t>DNSSEC</t>
  </si>
  <si>
    <t>Transferred</t>
  </si>
  <si>
    <t>Total diff's/day</t>
  </si>
  <si>
    <t>Total in TLD</t>
  </si>
  <si>
    <t>Ratio</t>
  </si>
  <si>
    <t>Calculation -- cost of file transfer and storage</t>
  </si>
  <si>
    <t>Assumption (selectable on gBytes/year page)</t>
  </si>
  <si>
    <t>is that the Aggregator delivers:</t>
  </si>
  <si>
    <t>gBytes transfered per year</t>
  </si>
  <si>
    <t>Transfer and storage costs</t>
  </si>
  <si>
    <t>Projected</t>
  </si>
  <si>
    <t>Current</t>
  </si>
  <si>
    <t>Aggregator</t>
  </si>
  <si>
    <t>Annual</t>
  </si>
  <si>
    <t>Savings</t>
  </si>
  <si>
    <t>Difference</t>
  </si>
  <si>
    <t>Calculation -- gBytes transferred per year (Files/year * File size/1,000,000,000)</t>
  </si>
  <si>
    <t>This is where you can change the number of domains</t>
  </si>
  <si>
    <t>in the zone files (under registries) and the number of</t>
  </si>
  <si>
    <t>bytes per domain</t>
  </si>
  <si>
    <t>to the aggregator)</t>
  </si>
  <si>
    <t>Assumptions -- ratio of "diffs" filesize to full filesize, toggle diffs on and off</t>
  </si>
  <si>
    <t>Toggle to turn diffs on and off</t>
  </si>
  <si>
    <t xml:space="preserve">Changing the filesize from full-zones to diffs has a </t>
  </si>
  <si>
    <t>dramatic impact on transfer and storage costs.  Use</t>
  </si>
  <si>
    <t>this toggle to switch back and forth -- note the impact on</t>
  </si>
  <si>
    <t>Calculation -- Subscription maintenance cost (Registry sub cost and Consumer sub cost * Subscriptions)</t>
  </si>
  <si>
    <t>Aggregator - registry-subscription side</t>
  </si>
  <si>
    <t>Consumer-</t>
  </si>
  <si>
    <t>subscription</t>
  </si>
  <si>
    <t>side</t>
  </si>
  <si>
    <t>Calculation -- Zone File sizes (Number of domains * Bytes per domain)</t>
  </si>
  <si>
    <t>Assumptions -- number of domains in ZF, Bytes per domain</t>
  </si>
  <si>
    <t>Assumptions --  Subscriptions by consumer-size, Registries by size, Consumer take-rates</t>
  </si>
  <si>
    <t>Calculation -- Subscriptions</t>
  </si>
  <si>
    <t>Small</t>
  </si>
  <si>
    <t>Projected</t>
  </si>
  <si>
    <t>Medium</t>
  </si>
  <si>
    <t>Large</t>
  </si>
  <si>
    <t>Registries</t>
  </si>
  <si>
    <t>Assumptions -- Subscription frequency</t>
  </si>
  <si>
    <t>Assumption</t>
  </si>
  <si>
    <t>Registries</t>
  </si>
  <si>
    <t>Downloads per year (per subscription)</t>
  </si>
  <si>
    <t>Total</t>
  </si>
  <si>
    <t>Today</t>
  </si>
  <si>
    <t>Projected</t>
  </si>
  <si>
    <t>Aggregator</t>
  </si>
  <si>
    <t>Total</t>
  </si>
  <si>
    <t>Today</t>
  </si>
  <si>
    <t>per zone per day.  There's</t>
  </si>
  <si>
    <t xml:space="preserve">no cost implication in </t>
  </si>
  <si>
    <t>the model right now --</t>
  </si>
  <si>
    <t>this is here just for info</t>
  </si>
  <si>
    <t>subscribe to .COM/.NET in this model.</t>
  </si>
  <si>
    <t>It's presumed that the aggregator will subscribe to all registries and</t>
  </si>
  <si>
    <t>have accounts with all consumers.</t>
  </si>
  <si>
    <t>size they will be (row 5).  There is no specific time-frame associated with</t>
  </si>
  <si>
    <t xml:space="preserve">will be (column B).  </t>
  </si>
  <si>
    <t>Calculation -- Avg. transfer cost per provider per year</t>
  </si>
  <si>
    <t>"Projected" -- who knows when new gTLDs will spin up.  So this is</t>
  </si>
  <si>
    <t>just a "now" vs "sometime later" projection.</t>
  </si>
  <si>
    <t>You can vary the number of consumers there are and</t>
  </si>
  <si>
    <t>You can vary the "take-rate" of the consumers.  The number of</t>
  </si>
  <si>
    <t>subscriptions is calculated by taking the number of registries,</t>
  </si>
  <si>
    <t>multiplied by the number of consumers, times the take-rate.  So</t>
  </si>
  <si>
    <t>the big consumers subscribe to all the registries (100%) where</t>
  </si>
  <si>
    <t>small consumers just subscribe to a very few -- although all of them</t>
  </si>
  <si>
    <t>Note: Aggregator is assumed to download full zone files</t>
  </si>
  <si>
    <t>from every registry, every day and then crunch the diff's before</t>
  </si>
  <si>
    <t>sending them out to consumers</t>
  </si>
  <si>
    <t>Transfers per year (per subscription)</t>
  </si>
  <si>
    <t>Basis for file-storage costs</t>
  </si>
  <si>
    <t xml:space="preserve">Amazon S3 charge </t>
  </si>
  <si>
    <t>Best rate for 1 gByte transferred</t>
  </si>
  <si>
    <t>(as of Jan 29, 2010)</t>
  </si>
  <si>
    <t>Best rate for 1 gByte stored/month</t>
  </si>
  <si>
    <t>storing 1 gByte (used in "consumer"</t>
  </si>
  <si>
    <t>Basis for diffs/full filesize assumption -- based on Jan 29, 2010 RegistrarStats data</t>
  </si>
  <si>
    <t>.COM</t>
  </si>
  <si>
    <t>.ORG</t>
  </si>
  <si>
    <t>.ASIA</t>
  </si>
  <si>
    <t xml:space="preserve">Assumption -- ratio of diff's to total domains </t>
  </si>
  <si>
    <t>Calculation -- Avg. Gbytes per provider per year</t>
  </si>
  <si>
    <t>Calculation -- Avg. Gbytes per consumer per year</t>
  </si>
  <si>
    <t>New</t>
  </si>
  <si>
    <t>Removed</t>
  </si>
  <si>
    <t xml:space="preserve">&lt;---- Note - This assumption gets changed on the "Files/year" page </t>
  </si>
  <si>
    <t>Note: this section shows SUBSCRIPTION costs</t>
  </si>
  <si>
    <t>This page is just an intermediate calculation on the way</t>
  </si>
  <si>
    <t>to the files/year page.  You can change the assumption</t>
  </si>
  <si>
    <t>about how many times a year a consumer downloads</t>
  </si>
  <si>
    <t>zone files.  I'd leave the assumption that the aggregator</t>
  </si>
  <si>
    <t>downloads once a day alone.</t>
  </si>
  <si>
    <t>This page allows you to vary the "how much does it cost</t>
  </si>
  <si>
    <t>parties will "touch" each subscription, that's why the total</t>
  </si>
  <si>
    <t>is double what you might expect.</t>
  </si>
  <si>
    <t>to your changes.  Note -- the model presumes that both</t>
  </si>
  <si>
    <t>Assumptions on this page;</t>
  </si>
  <si>
    <t>Change your guess as to how many registries there will be, and what</t>
  </si>
  <si>
    <t>Files delivered per year</t>
  </si>
  <si>
    <t>Today</t>
  </si>
  <si>
    <t>Projected</t>
  </si>
  <si>
    <t>Assumption (selectable on Files/year page)</t>
  </si>
  <si>
    <t>that the customer gets:</t>
  </si>
  <si>
    <t>&lt;---- Note - This assumption gets changed on the "ZF size: page</t>
  </si>
  <si>
    <t xml:space="preserve">&lt;---- Note - This assumption gets changed on the "gBytes/year" page </t>
  </si>
  <si>
    <t>file-transfer volume (this page) and associated costs</t>
  </si>
  <si>
    <t>(next page)</t>
  </si>
  <si>
    <t>full and diff ---&gt;</t>
  </si>
  <si>
    <t>Full zone</t>
  </si>
  <si>
    <t>Diffs file</t>
  </si>
  <si>
    <t>Diffs file</t>
  </si>
  <si>
    <t>Click on this cell to toggle between</t>
  </si>
  <si>
    <t>Today</t>
  </si>
  <si>
    <t>Projected</t>
  </si>
  <si>
    <t>Subscriptions to manage</t>
  </si>
  <si>
    <t>Total annual cost of managing subscriptions</t>
  </si>
  <si>
    <t>Calculation -- File transfers per year (Subscriptions per consumer x Transfers per subscription per year)</t>
  </si>
  <si>
    <t>Calculation -- ZF transfers per subscriber per year</t>
  </si>
  <si>
    <t>Aggregator</t>
  </si>
  <si>
    <t>Assumptions -- number of files delivered - toggle</t>
  </si>
  <si>
    <t>In this model you can</t>
  </si>
  <si>
    <t>choose how many files</t>
  </si>
  <si>
    <t>the aggregator delivers</t>
  </si>
  <si>
    <t>to the consumer -- one</t>
  </si>
  <si>
    <t xml:space="preserve">file per day, or one file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</si>
</sst>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;&quot;$&quot;\(#,##0\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0"/>
    <numFmt numFmtId="173" formatCode="&quot;$&quot;#,##0.0"/>
    <numFmt numFmtId="174" formatCode="&quot;$&quot;#,##0"/>
    <numFmt numFmtId="175" formatCode="#,##0.000"/>
    <numFmt numFmtId="176" formatCode="0.0%"/>
    <numFmt numFmtId="177" formatCode="0.000%"/>
    <numFmt numFmtId="178" formatCode="&quot;$&quot;#,##0.000_);[Red]\(&quot;$&quot;#,##0.000\)"/>
  </numFmts>
  <fonts count="46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7" fillId="0" borderId="0" xfId="59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9" fontId="7" fillId="33" borderId="0" xfId="59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3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168" fontId="7" fillId="33" borderId="0" xfId="42" applyNumberFormat="1" applyFont="1" applyFill="1" applyBorder="1" applyAlignment="1" applyProtection="1">
      <alignment horizontal="center" wrapText="1"/>
      <protection/>
    </xf>
    <xf numFmtId="3" fontId="7" fillId="0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8" fontId="7" fillId="0" borderId="0" xfId="42" applyNumberFormat="1" applyFont="1" applyFill="1" applyBorder="1" applyAlignment="1" applyProtection="1">
      <alignment horizontal="center" wrapText="1"/>
      <protection/>
    </xf>
    <xf numFmtId="3" fontId="7" fillId="0" borderId="0" xfId="42" applyNumberFormat="1" applyFont="1" applyFill="1" applyBorder="1" applyAlignment="1" applyProtection="1">
      <alignment horizontal="center" wrapText="1"/>
      <protection/>
    </xf>
    <xf numFmtId="3" fontId="7" fillId="0" borderId="0" xfId="42" applyNumberFormat="1" applyFont="1" applyFill="1" applyAlignment="1">
      <alignment horizontal="center" vertical="center"/>
    </xf>
    <xf numFmtId="174" fontId="7" fillId="0" borderId="0" xfId="44" applyNumberFormat="1" applyFont="1" applyFill="1" applyBorder="1" applyAlignment="1" applyProtection="1">
      <alignment horizontal="center" wrapText="1"/>
      <protection/>
    </xf>
    <xf numFmtId="174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 vertical="center"/>
    </xf>
    <xf numFmtId="174" fontId="7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9" fontId="7" fillId="0" borderId="0" xfId="42" applyNumberFormat="1" applyFont="1" applyFill="1" applyBorder="1" applyAlignment="1" applyProtection="1">
      <alignment horizontal="center" wrapText="1"/>
      <protection/>
    </xf>
    <xf numFmtId="3" fontId="8" fillId="0" borderId="0" xfId="42" applyNumberFormat="1" applyFont="1" applyFill="1" applyBorder="1" applyAlignment="1" applyProtection="1">
      <alignment horizontal="center" wrapText="1"/>
      <protection/>
    </xf>
    <xf numFmtId="174" fontId="8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59" applyNumberFormat="1" applyFont="1" applyAlignment="1">
      <alignment horizontal="center" vertical="center"/>
    </xf>
    <xf numFmtId="10" fontId="0" fillId="33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8" fillId="34" borderId="0" xfId="42" applyNumberFormat="1" applyFont="1" applyFill="1" applyBorder="1" applyAlignment="1" applyProtection="1">
      <alignment horizontal="center" wrapText="1"/>
      <protection/>
    </xf>
    <xf numFmtId="169" fontId="8" fillId="35" borderId="0" xfId="42" applyNumberFormat="1" applyFont="1" applyFill="1" applyBorder="1" applyAlignment="1" applyProtection="1">
      <alignment horizontal="center" wrapText="1"/>
      <protection/>
    </xf>
    <xf numFmtId="3" fontId="8" fillId="35" borderId="0" xfId="0" applyNumberFormat="1" applyFont="1" applyFill="1" applyAlignment="1">
      <alignment horizontal="center" vertical="center"/>
    </xf>
    <xf numFmtId="4" fontId="8" fillId="35" borderId="0" xfId="0" applyNumberFormat="1" applyFont="1" applyFill="1" applyBorder="1" applyAlignment="1" applyProtection="1">
      <alignment horizontal="center" wrapText="1"/>
      <protection/>
    </xf>
    <xf numFmtId="3" fontId="8" fillId="35" borderId="0" xfId="0" applyNumberFormat="1" applyFont="1" applyFill="1" applyBorder="1" applyAlignment="1" applyProtection="1">
      <alignment horizontal="center" wrapText="1"/>
      <protection/>
    </xf>
    <xf numFmtId="0" fontId="0" fillId="36" borderId="0" xfId="0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77" fontId="0" fillId="0" borderId="0" xfId="59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33" borderId="0" xfId="0" applyFill="1" applyAlignment="1">
      <alignment vertical="center"/>
    </xf>
    <xf numFmtId="8" fontId="3" fillId="33" borderId="0" xfId="0" applyNumberFormat="1" applyFont="1" applyFill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3" fillId="33" borderId="0" xfId="0" applyNumberFormat="1" applyFont="1" applyFill="1" applyAlignment="1">
      <alignment horizontal="center" vertical="center"/>
    </xf>
    <xf numFmtId="8" fontId="0" fillId="0" borderId="0" xfId="0" applyNumberFormat="1" applyFont="1" applyFill="1" applyAlignment="1">
      <alignment horizontal="center" vertical="center"/>
    </xf>
    <xf numFmtId="174" fontId="7" fillId="0" borderId="0" xfId="42" applyNumberFormat="1" applyFont="1" applyFill="1" applyBorder="1" applyAlignment="1" applyProtection="1">
      <alignment horizontal="center" wrapText="1"/>
      <protection/>
    </xf>
    <xf numFmtId="174" fontId="8" fillId="35" borderId="0" xfId="0" applyNumberFormat="1" applyFont="1" applyFill="1" applyAlignment="1">
      <alignment horizontal="center" vertical="center"/>
    </xf>
    <xf numFmtId="174" fontId="8" fillId="34" borderId="0" xfId="42" applyNumberFormat="1" applyFont="1" applyFill="1" applyBorder="1" applyAlignment="1" applyProtection="1">
      <alignment horizontal="center" wrapText="1"/>
      <protection/>
    </xf>
    <xf numFmtId="174" fontId="8" fillId="0" borderId="0" xfId="42" applyNumberFormat="1" applyFont="1" applyFill="1" applyBorder="1" applyAlignment="1" applyProtection="1">
      <alignment horizontal="center" wrapText="1"/>
      <protection/>
    </xf>
    <xf numFmtId="174" fontId="8" fillId="35" borderId="0" xfId="42" applyNumberFormat="1" applyFont="1" applyFill="1" applyBorder="1" applyAlignment="1" applyProtection="1">
      <alignment horizontal="center" wrapText="1"/>
      <protection/>
    </xf>
    <xf numFmtId="172" fontId="8" fillId="35" borderId="0" xfId="42" applyNumberFormat="1" applyFont="1" applyFill="1" applyBorder="1" applyAlignment="1" applyProtection="1">
      <alignment horizontal="center" wrapText="1"/>
      <protection/>
    </xf>
    <xf numFmtId="174" fontId="8" fillId="34" borderId="0" xfId="0" applyNumberFormat="1" applyFont="1" applyFill="1" applyBorder="1" applyAlignment="1" applyProtection="1">
      <alignment horizontal="center" wrapText="1"/>
      <protection/>
    </xf>
    <xf numFmtId="169" fontId="8" fillId="35" borderId="0" xfId="0" applyNumberFormat="1" applyFont="1" applyFill="1" applyAlignment="1">
      <alignment horizontal="center" vertical="center"/>
    </xf>
    <xf numFmtId="0" fontId="8" fillId="34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0" fontId="7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vertical="center"/>
    </xf>
    <xf numFmtId="169" fontId="7" fillId="0" borderId="0" xfId="0" applyNumberFormat="1" applyFont="1" applyFill="1" applyBorder="1" applyAlignment="1" applyProtection="1">
      <alignment horizontal="center" wrapText="1"/>
      <protection/>
    </xf>
    <xf numFmtId="169" fontId="8" fillId="34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Alignment="1">
      <alignment horizontal="right" vertical="center"/>
    </xf>
    <xf numFmtId="6" fontId="0" fillId="0" borderId="0" xfId="0" applyNumberFormat="1" applyAlignment="1">
      <alignment vertical="center"/>
    </xf>
    <xf numFmtId="6" fontId="0" fillId="33" borderId="0" xfId="0" applyNumberFormat="1" applyFill="1" applyAlignment="1">
      <alignment vertical="center"/>
    </xf>
    <xf numFmtId="174" fontId="0" fillId="0" borderId="0" xfId="0" applyNumberFormat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FFFF99"/>
      <rgbColor rgb="00FFFFFF"/>
      <rgbColor rgb="00E1C7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zoomScale="125" zoomScaleNormal="125" zoomScalePageLayoutView="0" workbookViewId="0" topLeftCell="A1">
      <selection activeCell="I34" sqref="I34"/>
    </sheetView>
  </sheetViews>
  <sheetFormatPr defaultColWidth="11.421875" defaultRowHeight="12.75"/>
  <cols>
    <col min="1" max="1" width="34.28125" style="0" customWidth="1"/>
    <col min="2" max="3" width="13.7109375" style="39" customWidth="1"/>
    <col min="4" max="4" width="11.421875" style="0" customWidth="1"/>
    <col min="5" max="5" width="10.8515625" style="39" customWidth="1"/>
    <col min="6" max="7" width="11.421875" style="0" customWidth="1"/>
    <col min="8" max="8" width="2.421875" style="52" customWidth="1"/>
    <col min="9" max="10" width="11.421875" style="0" customWidth="1"/>
    <col min="11" max="11" width="10.7109375" style="0" customWidth="1"/>
  </cols>
  <sheetData>
    <row r="2" ht="23.25">
      <c r="A2" s="72" t="s">
        <v>31</v>
      </c>
    </row>
    <row r="5" spans="2:9" ht="12.75">
      <c r="B5" s="41" t="s">
        <v>83</v>
      </c>
      <c r="C5" s="41" t="s">
        <v>84</v>
      </c>
      <c r="D5" s="41" t="s">
        <v>87</v>
      </c>
      <c r="E5" s="41" t="s">
        <v>85</v>
      </c>
      <c r="F5" s="41" t="s">
        <v>62</v>
      </c>
      <c r="I5" s="38" t="s">
        <v>66</v>
      </c>
    </row>
    <row r="6" spans="2:9" ht="12.75">
      <c r="B6" s="41"/>
      <c r="C6" s="41"/>
      <c r="D6" s="39"/>
      <c r="E6" s="41" t="s">
        <v>86</v>
      </c>
      <c r="F6" s="41" t="s">
        <v>63</v>
      </c>
      <c r="I6" s="38"/>
    </row>
    <row r="7" spans="1:9" ht="12.75">
      <c r="A7" s="38" t="s">
        <v>188</v>
      </c>
      <c r="D7" s="39"/>
      <c r="I7" s="38" t="s">
        <v>65</v>
      </c>
    </row>
    <row r="8" spans="1:9" ht="12.75">
      <c r="A8" t="s">
        <v>186</v>
      </c>
      <c r="B8" s="73">
        <f>Subscriptions!G22</f>
        <v>3320</v>
      </c>
      <c r="C8" s="73">
        <f>Subscriptions!I26</f>
        <v>814</v>
      </c>
      <c r="D8" s="73">
        <f>B8-C8</f>
        <v>2506</v>
      </c>
      <c r="E8" s="74"/>
      <c r="I8" s="38" t="s">
        <v>17</v>
      </c>
    </row>
    <row r="9" spans="1:5" ht="12.75">
      <c r="A9" t="s">
        <v>187</v>
      </c>
      <c r="B9" s="73">
        <f>Subscriptions!G23</f>
        <v>94750</v>
      </c>
      <c r="C9" s="73">
        <f>Subscriptions!I27</f>
        <v>2861</v>
      </c>
      <c r="D9" s="73">
        <f>B9-C9</f>
        <v>91889</v>
      </c>
      <c r="E9" s="74"/>
    </row>
    <row r="10" spans="2:5" ht="12.75">
      <c r="B10" s="74"/>
      <c r="C10" s="74"/>
      <c r="D10" s="74"/>
      <c r="E10" s="74"/>
    </row>
    <row r="11" spans="1:5" ht="12.75">
      <c r="A11" s="38" t="s">
        <v>189</v>
      </c>
      <c r="B11" s="74"/>
      <c r="C11" s="74"/>
      <c r="D11" s="74"/>
      <c r="E11" s="74"/>
    </row>
    <row r="12" spans="1:6" ht="12.75">
      <c r="A12" t="s">
        <v>186</v>
      </c>
      <c r="B12" s="75">
        <f>'Subscription costs'!G22</f>
        <v>166000</v>
      </c>
      <c r="C12" s="75">
        <f>'Subscription costs'!I26</f>
        <v>81400</v>
      </c>
      <c r="D12" s="74"/>
      <c r="E12" s="75">
        <f>B12-C12</f>
        <v>84600</v>
      </c>
      <c r="F12" s="85">
        <f>E12/52</f>
        <v>1626.923076923077</v>
      </c>
    </row>
    <row r="13" spans="1:6" ht="12.75">
      <c r="A13" t="s">
        <v>187</v>
      </c>
      <c r="B13" s="75">
        <f>'Subscription costs'!G23</f>
        <v>4737500</v>
      </c>
      <c r="C13" s="75">
        <f>'Subscription costs'!I27</f>
        <v>286100</v>
      </c>
      <c r="D13" s="74"/>
      <c r="E13" s="75">
        <f>B13-C13</f>
        <v>4451400</v>
      </c>
      <c r="F13" s="85">
        <f>E13/52</f>
        <v>85603.84615384616</v>
      </c>
    </row>
    <row r="14" spans="2:5" ht="12.75">
      <c r="B14" s="74"/>
      <c r="C14" s="74"/>
      <c r="D14" s="74"/>
      <c r="E14" s="74"/>
    </row>
    <row r="15" spans="1:5" ht="12.75">
      <c r="A15" s="38" t="s">
        <v>172</v>
      </c>
      <c r="B15" s="74"/>
      <c r="C15" s="74"/>
      <c r="D15" s="74"/>
      <c r="E15" s="74"/>
    </row>
    <row r="16" spans="1:5" ht="12.75">
      <c r="A16" t="s">
        <v>175</v>
      </c>
      <c r="B16" s="74"/>
      <c r="C16" s="74"/>
      <c r="D16" s="74"/>
      <c r="E16" s="74"/>
    </row>
    <row r="17" spans="1:5" ht="12.75">
      <c r="A17" t="s">
        <v>176</v>
      </c>
      <c r="B17" s="74"/>
      <c r="C17" s="74"/>
      <c r="D17" s="74"/>
      <c r="E17" s="74"/>
    </row>
    <row r="18" spans="1:9" ht="12.75">
      <c r="A18" s="57" t="str">
        <f>'Files per year'!L23</f>
        <v>1 file per day</v>
      </c>
      <c r="B18" s="74"/>
      <c r="C18" s="74"/>
      <c r="D18" s="74"/>
      <c r="E18" s="74"/>
      <c r="I18" t="s">
        <v>159</v>
      </c>
    </row>
    <row r="19" spans="1:5" ht="12.75">
      <c r="A19" t="s">
        <v>173</v>
      </c>
      <c r="B19" s="73">
        <f>'Files per year'!G22</f>
        <v>716350</v>
      </c>
      <c r="C19" s="73">
        <f>'Files per year'!I26</f>
        <v>297110</v>
      </c>
      <c r="D19" s="73">
        <f>B19-C19</f>
        <v>419240</v>
      </c>
      <c r="E19" s="74"/>
    </row>
    <row r="20" spans="1:5" ht="12.75">
      <c r="A20" t="s">
        <v>174</v>
      </c>
      <c r="B20" s="73">
        <f>'Files per year'!G23</f>
        <v>22872500</v>
      </c>
      <c r="C20" s="73">
        <f>'Files per year'!I27</f>
        <v>1044265</v>
      </c>
      <c r="D20" s="73">
        <f>B20-C20</f>
        <v>21828235</v>
      </c>
      <c r="E20" s="74"/>
    </row>
    <row r="21" spans="2:5" ht="12.75">
      <c r="B21" s="74"/>
      <c r="C21" s="74"/>
      <c r="D21" s="74"/>
      <c r="E21" s="74"/>
    </row>
    <row r="22" spans="1:5" ht="12.75">
      <c r="A22" s="38" t="s">
        <v>80</v>
      </c>
      <c r="B22" s="74"/>
      <c r="C22" s="74"/>
      <c r="D22" s="74"/>
      <c r="E22" s="74"/>
    </row>
    <row r="23" spans="1:5" ht="12.75">
      <c r="A23" t="s">
        <v>78</v>
      </c>
      <c r="B23" s="74"/>
      <c r="C23" s="74"/>
      <c r="D23" s="74"/>
      <c r="E23" s="74"/>
    </row>
    <row r="24" spans="1:5" ht="12.75">
      <c r="A24" t="s">
        <v>79</v>
      </c>
      <c r="B24" s="74"/>
      <c r="C24" s="74"/>
      <c r="D24" s="74"/>
      <c r="E24" s="74"/>
    </row>
    <row r="25" spans="1:9" ht="12.75">
      <c r="A25" s="57" t="str">
        <f>'gBytes per year'!L30</f>
        <v>Diffs file</v>
      </c>
      <c r="B25" s="74"/>
      <c r="C25" s="74"/>
      <c r="D25" s="74"/>
      <c r="E25" s="74"/>
      <c r="I25" t="s">
        <v>178</v>
      </c>
    </row>
    <row r="26" spans="1:9" ht="12.75">
      <c r="A26" s="57" t="str">
        <f>'ZF size'!K21</f>
        <v>No DNSSEC</v>
      </c>
      <c r="E26" s="74"/>
      <c r="I26" t="s">
        <v>177</v>
      </c>
    </row>
    <row r="27" spans="1:5" ht="12.75">
      <c r="A27" t="s">
        <v>186</v>
      </c>
      <c r="B27" s="73">
        <f>'gBytes per year'!G22</f>
        <v>77859.61</v>
      </c>
      <c r="C27" s="73">
        <f>'gBytes per year'!I26</f>
        <v>449.43983000000003</v>
      </c>
      <c r="D27" s="73">
        <f>B27-C27</f>
        <v>77410.17017</v>
      </c>
      <c r="E27" s="74"/>
    </row>
    <row r="28" spans="1:5" ht="12.75">
      <c r="A28" t="s">
        <v>187</v>
      </c>
      <c r="B28" s="73">
        <f>'gBytes per year'!G23</f>
        <v>525343.75</v>
      </c>
      <c r="C28" s="73">
        <f>'gBytes per year'!I27</f>
        <v>2260.40625</v>
      </c>
      <c r="D28" s="73">
        <f>B28-C28</f>
        <v>523083.34375</v>
      </c>
      <c r="E28" s="74"/>
    </row>
    <row r="29" spans="2:5" ht="12.75">
      <c r="B29" s="74"/>
      <c r="C29" s="74"/>
      <c r="D29" s="74"/>
      <c r="E29" s="74"/>
    </row>
    <row r="30" spans="1:5" ht="12.75">
      <c r="A30" s="38" t="s">
        <v>81</v>
      </c>
      <c r="B30" s="74"/>
      <c r="C30" s="74"/>
      <c r="D30" s="74"/>
      <c r="E30" s="74"/>
    </row>
    <row r="31" spans="1:6" ht="12.75">
      <c r="A31" t="s">
        <v>186</v>
      </c>
      <c r="B31" s="75">
        <f>'Xfer &amp; Storage Cost'!G22</f>
        <v>19854.20055</v>
      </c>
      <c r="C31" s="75">
        <f>'Xfer &amp; Storage Cost'!I26</f>
        <v>114.60715665000001</v>
      </c>
      <c r="D31" s="74"/>
      <c r="E31" s="75">
        <f>B31-C31</f>
        <v>19739.593393350002</v>
      </c>
      <c r="F31" s="85">
        <f>E31/52</f>
        <v>379.6075652567308</v>
      </c>
    </row>
    <row r="32" spans="1:6" ht="12.75">
      <c r="A32" t="s">
        <v>82</v>
      </c>
      <c r="B32" s="75">
        <f>'Xfer &amp; Storage Cost'!G23</f>
        <v>133962.65625</v>
      </c>
      <c r="C32" s="75">
        <f>'Xfer &amp; Storage Cost'!I27</f>
        <v>576.40359375</v>
      </c>
      <c r="D32" s="74"/>
      <c r="E32" s="75">
        <f>B32-C32</f>
        <v>133386.25265625</v>
      </c>
      <c r="F32" s="85">
        <f>E32/52</f>
        <v>2565.120243389423</v>
      </c>
    </row>
    <row r="35" ht="23.25">
      <c r="A35" s="72" t="s">
        <v>9</v>
      </c>
    </row>
    <row r="37" ht="15.75">
      <c r="A37" s="13" t="s">
        <v>67</v>
      </c>
    </row>
    <row r="38" ht="12.75">
      <c r="I38" s="38" t="s">
        <v>160</v>
      </c>
    </row>
    <row r="39" spans="1:9" ht="15">
      <c r="A39" s="80" t="s">
        <v>15</v>
      </c>
      <c r="I39" s="38"/>
    </row>
    <row r="40" spans="1:9" ht="12.75">
      <c r="A40" s="3" t="s">
        <v>107</v>
      </c>
      <c r="I40" s="38" t="s">
        <v>69</v>
      </c>
    </row>
    <row r="41" spans="1:9" ht="12.75">
      <c r="A41" s="2" t="s">
        <v>121</v>
      </c>
      <c r="B41" s="75">
        <f>'Subscription costs'!G38</f>
        <v>144</v>
      </c>
      <c r="C41" s="75">
        <f>'Subscription costs'!I38</f>
        <v>100</v>
      </c>
      <c r="E41" s="75">
        <f>B41-C41</f>
        <v>44</v>
      </c>
      <c r="F41" s="85">
        <f>E41/52</f>
        <v>0.8461538461538461</v>
      </c>
      <c r="I41" s="38" t="s">
        <v>68</v>
      </c>
    </row>
    <row r="42" spans="1:6" ht="12.75">
      <c r="A42" s="2" t="s">
        <v>118</v>
      </c>
      <c r="B42" s="75">
        <f>'Subscription costs'!G39</f>
        <v>1050</v>
      </c>
      <c r="C42" s="75">
        <f>'Subscription costs'!I39</f>
        <v>100</v>
      </c>
      <c r="E42" s="75">
        <f>B42-C42</f>
        <v>950</v>
      </c>
      <c r="F42" s="85">
        <f>E42/52</f>
        <v>18.26923076923077</v>
      </c>
    </row>
    <row r="43" spans="1:3" ht="12.75">
      <c r="A43" s="2"/>
      <c r="B43" s="75"/>
      <c r="C43" s="75"/>
    </row>
    <row r="44" spans="1:3" ht="12.75">
      <c r="A44" s="3" t="s">
        <v>109</v>
      </c>
      <c r="B44" s="75"/>
      <c r="C44" s="75"/>
    </row>
    <row r="45" spans="1:6" ht="12.75">
      <c r="A45" s="2" t="s">
        <v>19</v>
      </c>
      <c r="B45" s="75">
        <f>'Subscription costs'!G42</f>
        <v>247.5</v>
      </c>
      <c r="C45" s="75">
        <f>'Subscription costs'!I42</f>
        <v>100</v>
      </c>
      <c r="E45" s="75">
        <f>B45-C45</f>
        <v>147.5</v>
      </c>
      <c r="F45" s="85">
        <f>E45/52</f>
        <v>2.8365384615384617</v>
      </c>
    </row>
    <row r="46" spans="1:6" ht="12.75">
      <c r="A46" s="2" t="s">
        <v>108</v>
      </c>
      <c r="B46" s="75">
        <f>'Subscription costs'!G43</f>
        <v>2925</v>
      </c>
      <c r="C46" s="75">
        <f>'Subscription costs'!I43</f>
        <v>100</v>
      </c>
      <c r="E46" s="75">
        <f>B46-C46</f>
        <v>2825</v>
      </c>
      <c r="F46" s="85">
        <f>E46/52</f>
        <v>54.32692307692308</v>
      </c>
    </row>
    <row r="47" spans="1:3" ht="12.75">
      <c r="A47" s="2"/>
      <c r="B47" s="75"/>
      <c r="C47" s="75"/>
    </row>
    <row r="48" spans="1:3" ht="12.75">
      <c r="A48" s="3" t="s">
        <v>110</v>
      </c>
      <c r="B48" s="75"/>
      <c r="C48" s="75"/>
    </row>
    <row r="49" spans="1:6" ht="12.75">
      <c r="A49" s="2" t="s">
        <v>19</v>
      </c>
      <c r="B49" s="75">
        <f>'Subscription costs'!G46</f>
        <v>445</v>
      </c>
      <c r="C49" s="75">
        <f>'Subscription costs'!I46</f>
        <v>100</v>
      </c>
      <c r="E49" s="75">
        <f>B49-C49</f>
        <v>345</v>
      </c>
      <c r="F49" s="85">
        <f>E49/52</f>
        <v>6.634615384615385</v>
      </c>
    </row>
    <row r="50" spans="1:6" ht="12.75">
      <c r="A50" s="2" t="s">
        <v>108</v>
      </c>
      <c r="B50" s="75">
        <f>'Subscription costs'!G47</f>
        <v>6800</v>
      </c>
      <c r="C50" s="75">
        <f>'Subscription costs'!I47</f>
        <v>100</v>
      </c>
      <c r="E50" s="75">
        <f>B50-C50</f>
        <v>6700</v>
      </c>
      <c r="F50" s="85">
        <f>E50/52</f>
        <v>128.84615384615384</v>
      </c>
    </row>
    <row r="52" ht="15">
      <c r="A52" s="81" t="s">
        <v>16</v>
      </c>
    </row>
    <row r="53" ht="12.75">
      <c r="A53" s="3" t="s">
        <v>107</v>
      </c>
    </row>
    <row r="54" spans="1:6" ht="12.75">
      <c r="A54" s="2" t="s">
        <v>121</v>
      </c>
      <c r="B54" s="75">
        <f>'Subscription costs'!C78</f>
        <v>1500</v>
      </c>
      <c r="C54" s="75">
        <f>'Subscription costs'!C82</f>
        <v>100</v>
      </c>
      <c r="E54" s="75">
        <f>B54-C54</f>
        <v>1400</v>
      </c>
      <c r="F54" s="85">
        <f>E54/52</f>
        <v>26.923076923076923</v>
      </c>
    </row>
    <row r="55" spans="1:6" ht="12.75">
      <c r="A55" s="2" t="s">
        <v>118</v>
      </c>
      <c r="B55" s="75">
        <f>'Subscription costs'!C79</f>
        <v>4000</v>
      </c>
      <c r="C55" s="75">
        <f>'Subscription costs'!C83</f>
        <v>100</v>
      </c>
      <c r="E55" s="75">
        <f>B55-C55</f>
        <v>3900</v>
      </c>
      <c r="F55" s="85">
        <f>E55/52</f>
        <v>75</v>
      </c>
    </row>
    <row r="56" spans="1:3" ht="12.75">
      <c r="A56" s="2"/>
      <c r="B56" s="75"/>
      <c r="C56" s="75"/>
    </row>
    <row r="57" spans="1:3" ht="12.75">
      <c r="A57" s="3" t="s">
        <v>109</v>
      </c>
      <c r="B57" s="75"/>
      <c r="C57" s="75"/>
    </row>
    <row r="58" spans="1:6" ht="12.75">
      <c r="A58" s="2" t="s">
        <v>19</v>
      </c>
      <c r="B58" s="75">
        <f>'Subscription costs'!D78</f>
        <v>7500</v>
      </c>
      <c r="C58" s="75">
        <f>'Subscription costs'!D82</f>
        <v>100</v>
      </c>
      <c r="E58" s="75">
        <f>B58-C58</f>
        <v>7400</v>
      </c>
      <c r="F58" s="85">
        <f>E58/52</f>
        <v>142.30769230769232</v>
      </c>
    </row>
    <row r="59" spans="1:6" ht="12.75">
      <c r="A59" s="2" t="s">
        <v>108</v>
      </c>
      <c r="B59" s="75">
        <f>'Subscription costs'!D79</f>
        <v>19375</v>
      </c>
      <c r="C59" s="75">
        <f>'Subscription costs'!D83</f>
        <v>100</v>
      </c>
      <c r="E59" s="75">
        <f>B59-C59</f>
        <v>19275</v>
      </c>
      <c r="F59" s="85">
        <f>E59/52</f>
        <v>370.6730769230769</v>
      </c>
    </row>
    <row r="60" spans="1:3" ht="12.75">
      <c r="A60" s="2"/>
      <c r="B60" s="75"/>
      <c r="C60" s="75"/>
    </row>
    <row r="61" spans="1:3" ht="12.75">
      <c r="A61" s="3" t="s">
        <v>110</v>
      </c>
      <c r="B61" s="75"/>
      <c r="C61" s="75"/>
    </row>
    <row r="62" spans="1:6" ht="12.75">
      <c r="A62" s="2" t="s">
        <v>19</v>
      </c>
      <c r="B62" s="75">
        <f>'Subscription costs'!E78</f>
        <v>25000</v>
      </c>
      <c r="C62" s="75">
        <f>'Subscription costs'!E82</f>
        <v>100</v>
      </c>
      <c r="E62" s="75">
        <f>B62-C62</f>
        <v>24900</v>
      </c>
      <c r="F62" s="85">
        <f>E62/52</f>
        <v>478.84615384615387</v>
      </c>
    </row>
    <row r="63" spans="1:6" ht="12.75">
      <c r="A63" s="2" t="s">
        <v>108</v>
      </c>
      <c r="B63" s="75">
        <f>'Subscription costs'!E79</f>
        <v>68750</v>
      </c>
      <c r="C63" s="75">
        <f>'Subscription costs'!E83</f>
        <v>100</v>
      </c>
      <c r="E63" s="75">
        <f>B63-C63</f>
        <v>68650</v>
      </c>
      <c r="F63" s="85">
        <f>E63/52</f>
        <v>1320.1923076923076</v>
      </c>
    </row>
    <row r="64" spans="2:3" ht="12.75">
      <c r="B64" s="75"/>
      <c r="C64" s="75"/>
    </row>
    <row r="65" ht="12.75">
      <c r="A65" s="3" t="s">
        <v>14</v>
      </c>
    </row>
    <row r="66" spans="1:6" ht="12.75">
      <c r="A66" s="2" t="s">
        <v>12</v>
      </c>
      <c r="B66" s="75">
        <f>'Subscription costs'!F78</f>
        <v>40000</v>
      </c>
      <c r="C66" s="75">
        <f>'Subscription costs'!F82</f>
        <v>100</v>
      </c>
      <c r="E66" s="75">
        <f>B66-C66</f>
        <v>39900</v>
      </c>
      <c r="F66" s="85">
        <f>E66/52</f>
        <v>767.3076923076923</v>
      </c>
    </row>
    <row r="67" spans="1:6" ht="12.75">
      <c r="A67" s="2" t="s">
        <v>13</v>
      </c>
      <c r="B67" s="75">
        <f>'Subscription costs'!F79</f>
        <v>112500</v>
      </c>
      <c r="C67" s="75">
        <f>'Subscription costs'!F83</f>
        <v>100</v>
      </c>
      <c r="E67" s="75">
        <f>B67-C67</f>
        <v>112400</v>
      </c>
      <c r="F67" s="85">
        <f>E67/52</f>
        <v>2161.5384615384614</v>
      </c>
    </row>
    <row r="70" ht="15.75">
      <c r="A70" s="13" t="s">
        <v>70</v>
      </c>
    </row>
    <row r="72" ht="15">
      <c r="A72" s="80" t="s">
        <v>15</v>
      </c>
    </row>
    <row r="73" ht="12.75">
      <c r="A73" s="3" t="s">
        <v>107</v>
      </c>
    </row>
    <row r="74" spans="1:6" ht="12.75">
      <c r="A74" s="2" t="s">
        <v>121</v>
      </c>
      <c r="B74" s="75">
        <f>'Xfer &amp; Storage Cost'!C38+'Xfer &amp; Storage Cost'!G38</f>
        <v>8.607397999999998</v>
      </c>
      <c r="C74" s="75">
        <f>'Xfer &amp; Storage Cost'!I38</f>
        <v>0.025821822</v>
      </c>
      <c r="E74" s="75">
        <f>B74-C74</f>
        <v>8.581576177999999</v>
      </c>
      <c r="F74" s="85">
        <f>E74/52</f>
        <v>0.1650303111153846</v>
      </c>
    </row>
    <row r="75" spans="1:6" ht="12.75">
      <c r="A75" s="2" t="s">
        <v>118</v>
      </c>
      <c r="B75" s="75">
        <f>'Xfer &amp; Storage Cost'!C39+'Xfer &amp; Storage Cost'!G39</f>
        <v>19.646250000000002</v>
      </c>
      <c r="C75" s="75">
        <f>'Xfer &amp; Storage Cost'!I39</f>
        <v>0.0588225</v>
      </c>
      <c r="E75" s="75">
        <f>B75-C75</f>
        <v>19.5874275</v>
      </c>
      <c r="F75" s="85">
        <f>E75/52</f>
        <v>0.3766812980769231</v>
      </c>
    </row>
    <row r="76" spans="1:3" ht="12.75">
      <c r="A76" s="2"/>
      <c r="B76" s="75"/>
      <c r="C76" s="75"/>
    </row>
    <row r="77" spans="1:3" ht="12.75">
      <c r="A77" s="3" t="s">
        <v>109</v>
      </c>
      <c r="B77" s="75"/>
      <c r="C77" s="75"/>
    </row>
    <row r="78" spans="1:6" ht="12.75">
      <c r="A78" s="2" t="s">
        <v>19</v>
      </c>
      <c r="B78" s="75">
        <f>'Xfer &amp; Storage Cost'!C42+'Xfer &amp; Storage Cost'!G42</f>
        <v>22.147175</v>
      </c>
      <c r="C78" s="75">
        <f>'Xfer &amp; Storage Cost'!I42</f>
        <v>0.0664392</v>
      </c>
      <c r="E78" s="75">
        <f>B78-C78</f>
        <v>22.0807358</v>
      </c>
      <c r="F78" s="85">
        <f>E78/52</f>
        <v>0.4246295346153846</v>
      </c>
    </row>
    <row r="79" spans="1:6" ht="12.75">
      <c r="A79" s="2" t="s">
        <v>108</v>
      </c>
      <c r="B79" s="75">
        <f>'Xfer &amp; Storage Cost'!C43+'Xfer &amp; Storage Cost'!G43</f>
        <v>56.1875</v>
      </c>
      <c r="C79" s="75">
        <f>'Xfer &amp; Storage Cost'!I43</f>
        <v>0.1678359375</v>
      </c>
      <c r="E79" s="75">
        <f>B79-C79</f>
        <v>56.0196640625</v>
      </c>
      <c r="F79" s="85">
        <f>E79/52</f>
        <v>1.077301231971154</v>
      </c>
    </row>
    <row r="80" spans="1:3" ht="12.75">
      <c r="A80" s="2"/>
      <c r="B80" s="75"/>
      <c r="C80" s="75"/>
    </row>
    <row r="81" spans="1:3" ht="12.75">
      <c r="A81" s="3" t="s">
        <v>110</v>
      </c>
      <c r="B81" s="75"/>
      <c r="C81" s="75"/>
    </row>
    <row r="82" spans="1:6" ht="12.75">
      <c r="A82" s="2" t="s">
        <v>19</v>
      </c>
      <c r="B82" s="75">
        <f>'Xfer &amp; Storage Cost'!C46+'Xfer &amp; Storage Cost'!G46</f>
        <v>33.3554885</v>
      </c>
      <c r="C82" s="75">
        <f>'Xfer &amp; Storage Cost'!I46</f>
        <v>0.1000596765</v>
      </c>
      <c r="E82" s="75">
        <f>B82-C82</f>
        <v>33.2554288235</v>
      </c>
      <c r="F82" s="85">
        <f>E82/52</f>
        <v>0.6395274773749999</v>
      </c>
    </row>
    <row r="83" spans="1:6" ht="12.75">
      <c r="A83" s="2" t="s">
        <v>108</v>
      </c>
      <c r="B83" s="75">
        <f>'Xfer &amp; Storage Cost'!C47+'Xfer &amp; Storage Cost'!G47</f>
        <v>96.88468750000001</v>
      </c>
      <c r="C83" s="75">
        <f>'Xfer &amp; Storage Cost'!I47</f>
        <v>0.28853249999999997</v>
      </c>
      <c r="E83" s="75">
        <f>B83-C83</f>
        <v>96.59615500000001</v>
      </c>
      <c r="F83" s="85">
        <f>E83/52</f>
        <v>1.8576183653846157</v>
      </c>
    </row>
    <row r="85" ht="15">
      <c r="A85" s="81" t="s">
        <v>16</v>
      </c>
    </row>
    <row r="86" ht="12.75">
      <c r="A86" s="3" t="s">
        <v>107</v>
      </c>
    </row>
    <row r="87" spans="1:6" ht="12.75">
      <c r="A87" s="2" t="s">
        <v>121</v>
      </c>
      <c r="B87" s="75">
        <f>'Xfer &amp; Storage Cost'!C78</f>
        <v>0.07150000000000001</v>
      </c>
      <c r="C87" s="82">
        <f>'Xfer &amp; Storage Cost'!C82</f>
        <v>0.00021449999999999998</v>
      </c>
      <c r="E87" s="75">
        <f>B87-C87</f>
        <v>0.0712855</v>
      </c>
      <c r="F87" s="85">
        <f>E87/52</f>
        <v>0.0013708750000000001</v>
      </c>
    </row>
    <row r="88" spans="1:6" ht="12.75">
      <c r="A88" s="2" t="s">
        <v>118</v>
      </c>
      <c r="B88" s="75">
        <f>'Xfer &amp; Storage Cost'!C79</f>
        <v>0.45937500000000003</v>
      </c>
      <c r="C88" s="82">
        <f>'Xfer &amp; Storage Cost'!C83</f>
        <v>0.001378125</v>
      </c>
      <c r="E88" s="75">
        <f>B88-C88</f>
        <v>0.457996875</v>
      </c>
      <c r="F88" s="85">
        <f>E88/52</f>
        <v>0.008807632211538461</v>
      </c>
    </row>
    <row r="89" spans="1:3" ht="12.75">
      <c r="A89" s="2"/>
      <c r="B89" s="75"/>
      <c r="C89" s="75"/>
    </row>
    <row r="90" spans="1:3" ht="12.75">
      <c r="A90" s="3" t="s">
        <v>109</v>
      </c>
      <c r="B90" s="75"/>
      <c r="C90" s="75"/>
    </row>
    <row r="91" spans="1:6" ht="12.75">
      <c r="A91" s="2" t="s">
        <v>19</v>
      </c>
      <c r="B91" s="75">
        <f>'Xfer &amp; Storage Cost'!D78</f>
        <v>4.237500000000001</v>
      </c>
      <c r="C91" s="75">
        <f>'Xfer &amp; Storage Cost'!D82</f>
        <v>0.012712500000000002</v>
      </c>
      <c r="E91" s="75">
        <f>B91-C91</f>
        <v>4.224787500000001</v>
      </c>
      <c r="F91" s="85">
        <f>E91/52</f>
        <v>0.08124591346153848</v>
      </c>
    </row>
    <row r="92" spans="1:6" ht="12.75">
      <c r="A92" s="2" t="s">
        <v>108</v>
      </c>
      <c r="B92" s="75">
        <f>'Xfer &amp; Storage Cost'!D79</f>
        <v>26.796875</v>
      </c>
      <c r="C92" s="75">
        <f>'Xfer &amp; Storage Cost'!D83</f>
        <v>0.08039062500000001</v>
      </c>
      <c r="E92" s="75">
        <f>B92-C92</f>
        <v>26.716484375</v>
      </c>
      <c r="F92" s="85">
        <f>E92/52</f>
        <v>0.5137785456730769</v>
      </c>
    </row>
    <row r="93" spans="1:3" ht="12.75">
      <c r="A93" s="2"/>
      <c r="B93" s="75"/>
      <c r="C93" s="75"/>
    </row>
    <row r="94" spans="1:3" ht="12.75">
      <c r="A94" s="3" t="s">
        <v>110</v>
      </c>
      <c r="B94" s="75"/>
      <c r="C94" s="75"/>
    </row>
    <row r="95" spans="1:6" ht="12.75">
      <c r="A95" s="2" t="s">
        <v>19</v>
      </c>
      <c r="B95" s="75">
        <f>'Xfer &amp; Storage Cost'!E78</f>
        <v>198</v>
      </c>
      <c r="C95" s="75">
        <f>'Xfer &amp; Storage Cost'!E82</f>
        <v>0.5940000000000001</v>
      </c>
      <c r="E95" s="75">
        <f>B95-C95</f>
        <v>197.406</v>
      </c>
      <c r="F95" s="85">
        <f>E95/52</f>
        <v>3.796269230769231</v>
      </c>
    </row>
    <row r="96" spans="1:6" ht="12.75">
      <c r="A96" s="2" t="s">
        <v>108</v>
      </c>
      <c r="B96" s="75">
        <f>'Xfer &amp; Storage Cost'!E79</f>
        <v>1300</v>
      </c>
      <c r="C96" s="75">
        <f>'Xfer &amp; Storage Cost'!E83</f>
        <v>3.9000000000000004</v>
      </c>
      <c r="E96" s="75">
        <f>B96-C96</f>
        <v>1296.1</v>
      </c>
      <c r="F96" s="85">
        <f>E96/52</f>
        <v>24.924999999999997</v>
      </c>
    </row>
    <row r="97" spans="2:3" ht="12.75">
      <c r="B97" s="75"/>
      <c r="C97" s="75"/>
    </row>
    <row r="98" ht="12.75">
      <c r="A98" s="3" t="s">
        <v>14</v>
      </c>
    </row>
    <row r="99" spans="1:6" ht="12.75">
      <c r="A99" s="2" t="s">
        <v>12</v>
      </c>
      <c r="B99" s="75">
        <f>'Xfer &amp; Storage Cost'!F78</f>
        <v>18273.9375</v>
      </c>
      <c r="C99" s="75">
        <f>'Xfer &amp; Storage Cost'!F82</f>
        <v>21.49875</v>
      </c>
      <c r="E99" s="75">
        <f>B99-C99</f>
        <v>18252.43875</v>
      </c>
      <c r="F99" s="85">
        <f>E99/52</f>
        <v>351.0084375</v>
      </c>
    </row>
    <row r="100" spans="1:6" ht="12.75">
      <c r="A100" s="2" t="s">
        <v>13</v>
      </c>
      <c r="B100" s="75">
        <f>'Xfer &amp; Storage Cost'!F79</f>
        <v>93393.75</v>
      </c>
      <c r="C100" s="75">
        <f>'Xfer &amp; Storage Cost'!F83</f>
        <v>109.875</v>
      </c>
      <c r="E100" s="75">
        <f>B100-C100</f>
        <v>93283.875</v>
      </c>
      <c r="F100" s="85">
        <f>E100/52</f>
        <v>1793.920673076923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="125" zoomScaleNormal="125" zoomScalePageLayoutView="0" workbookViewId="0" topLeftCell="A1">
      <selection activeCell="K22" sqref="K22:K25"/>
    </sheetView>
  </sheetViews>
  <sheetFormatPr defaultColWidth="12.00390625" defaultRowHeight="13.5" customHeight="1"/>
  <cols>
    <col min="1" max="8" width="12.00390625" style="5" customWidth="1"/>
    <col min="9" max="9" width="12.00390625" style="9" customWidth="1"/>
    <col min="10" max="10" width="2.28125" style="77" customWidth="1"/>
    <col min="11" max="16384" width="12.00390625" style="5" customWidth="1"/>
  </cols>
  <sheetData>
    <row r="1" spans="1:10" s="9" customFormat="1" ht="13.5" customHeight="1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76"/>
    </row>
    <row r="2" spans="1:11" ht="13.5" customHeight="1">
      <c r="A2" s="87" t="s">
        <v>106</v>
      </c>
      <c r="B2" s="87"/>
      <c r="C2" s="87"/>
      <c r="D2" s="87"/>
      <c r="E2" s="87"/>
      <c r="F2" s="87"/>
      <c r="G2" s="87"/>
      <c r="H2" s="87"/>
      <c r="K2" s="5" t="s">
        <v>170</v>
      </c>
    </row>
    <row r="4" spans="1:11" ht="13.5" customHeight="1">
      <c r="A4" s="6"/>
      <c r="B4" s="4" t="s">
        <v>111</v>
      </c>
      <c r="C4" s="4" t="s">
        <v>107</v>
      </c>
      <c r="D4" s="4" t="s">
        <v>109</v>
      </c>
      <c r="E4" s="4" t="s">
        <v>110</v>
      </c>
      <c r="F4" s="4" t="s">
        <v>30</v>
      </c>
      <c r="G4" s="4" t="s">
        <v>116</v>
      </c>
      <c r="H4" s="31"/>
      <c r="I4" s="10" t="s">
        <v>27</v>
      </c>
      <c r="K4" s="5" t="s">
        <v>171</v>
      </c>
    </row>
    <row r="5" spans="1:11" ht="13.5" customHeight="1">
      <c r="A5" s="6"/>
      <c r="B5" s="6" t="s">
        <v>19</v>
      </c>
      <c r="C5" s="16">
        <v>4</v>
      </c>
      <c r="D5" s="16">
        <v>6</v>
      </c>
      <c r="E5" s="16">
        <v>3</v>
      </c>
      <c r="F5" s="16">
        <v>1</v>
      </c>
      <c r="G5" s="6">
        <f>SUM(C5:F5)</f>
        <v>14</v>
      </c>
      <c r="H5" s="31"/>
      <c r="I5" s="27" t="s">
        <v>100</v>
      </c>
      <c r="K5" s="5" t="s">
        <v>129</v>
      </c>
    </row>
    <row r="6" spans="1:11" ht="13.5" customHeight="1">
      <c r="A6" s="2"/>
      <c r="B6" s="6" t="s">
        <v>108</v>
      </c>
      <c r="C6" s="16">
        <v>500</v>
      </c>
      <c r="D6" s="16">
        <v>100</v>
      </c>
      <c r="E6" s="16">
        <v>10</v>
      </c>
      <c r="F6" s="16">
        <v>1</v>
      </c>
      <c r="G6" s="6">
        <f>SUM(C6:F6)</f>
        <v>611</v>
      </c>
      <c r="H6" s="31"/>
      <c r="I6" s="27" t="s">
        <v>101</v>
      </c>
      <c r="K6" s="5" t="s">
        <v>132</v>
      </c>
    </row>
    <row r="7" spans="1:11" ht="13.5" customHeight="1">
      <c r="A7" s="2"/>
      <c r="B7" s="9"/>
      <c r="C7" s="6"/>
      <c r="D7" s="6"/>
      <c r="E7" s="6"/>
      <c r="F7" s="6"/>
      <c r="G7" s="6"/>
      <c r="H7" s="31"/>
      <c r="I7" s="27" t="s">
        <v>102</v>
      </c>
      <c r="K7" s="5" t="s">
        <v>133</v>
      </c>
    </row>
    <row r="8" spans="1:8" ht="13.5" customHeight="1">
      <c r="A8" s="3" t="s">
        <v>29</v>
      </c>
      <c r="B8" s="9"/>
      <c r="C8" s="9"/>
      <c r="D8" s="9"/>
      <c r="E8" s="9"/>
      <c r="F8" s="9"/>
      <c r="G8" s="6"/>
      <c r="H8" s="31"/>
    </row>
    <row r="9" spans="1:11" ht="13.5" customHeight="1">
      <c r="A9" s="3" t="s">
        <v>107</v>
      </c>
      <c r="B9" s="12"/>
      <c r="C9" s="14">
        <v>0.02</v>
      </c>
      <c r="D9" s="14">
        <v>0.05</v>
      </c>
      <c r="E9" s="14">
        <v>0.5</v>
      </c>
      <c r="F9" s="14">
        <v>1</v>
      </c>
      <c r="G9" s="6"/>
      <c r="H9" s="32"/>
      <c r="K9" s="5" t="s">
        <v>134</v>
      </c>
    </row>
    <row r="10" spans="1:11" ht="13.5" customHeight="1">
      <c r="A10" s="2" t="s">
        <v>121</v>
      </c>
      <c r="B10" s="15">
        <v>500</v>
      </c>
      <c r="C10" s="8">
        <f>C$9*C5*$B10</f>
        <v>40</v>
      </c>
      <c r="D10" s="8">
        <f>D9*D5*$B10</f>
        <v>150.00000000000003</v>
      </c>
      <c r="E10" s="8">
        <f>E9*E5*$B10</f>
        <v>750</v>
      </c>
      <c r="F10" s="8">
        <f>F9*F5*$B10</f>
        <v>500</v>
      </c>
      <c r="G10" s="6">
        <f>SUM(C10:F10)</f>
        <v>1440</v>
      </c>
      <c r="H10" s="32"/>
      <c r="I10" s="17">
        <f>B10</f>
        <v>500</v>
      </c>
      <c r="K10" s="5" t="s">
        <v>130</v>
      </c>
    </row>
    <row r="11" spans="1:9" ht="13.5" customHeight="1">
      <c r="A11" s="2" t="s">
        <v>118</v>
      </c>
      <c r="B11" s="15">
        <v>1500</v>
      </c>
      <c r="C11" s="8">
        <f>C6*$B11*C9</f>
        <v>15000</v>
      </c>
      <c r="D11" s="8">
        <f>D6*$B11*D9</f>
        <v>7500</v>
      </c>
      <c r="E11" s="8">
        <f>E6*$B11*E9</f>
        <v>7500</v>
      </c>
      <c r="F11" s="8">
        <f>F6*$B11*F9</f>
        <v>1500</v>
      </c>
      <c r="G11" s="6">
        <f>SUM(C11:F11)</f>
        <v>31500</v>
      </c>
      <c r="H11" s="32"/>
      <c r="I11" s="17">
        <f>B11</f>
        <v>1500</v>
      </c>
    </row>
    <row r="12" spans="1:11" ht="13.5" customHeight="1">
      <c r="A12" s="2"/>
      <c r="B12" s="12"/>
      <c r="C12" s="6"/>
      <c r="D12" s="6"/>
      <c r="E12" s="6"/>
      <c r="F12" s="6"/>
      <c r="G12" s="8"/>
      <c r="H12" s="32"/>
      <c r="K12" s="5" t="s">
        <v>135</v>
      </c>
    </row>
    <row r="13" spans="1:11" ht="13.5" customHeight="1">
      <c r="A13" s="3" t="s">
        <v>109</v>
      </c>
      <c r="B13" s="12"/>
      <c r="C13" s="14">
        <v>0.05</v>
      </c>
      <c r="D13" s="14">
        <v>0.25</v>
      </c>
      <c r="E13" s="14">
        <v>0.75</v>
      </c>
      <c r="F13" s="14">
        <v>1</v>
      </c>
      <c r="G13" s="8"/>
      <c r="H13" s="32"/>
      <c r="K13" s="5" t="s">
        <v>136</v>
      </c>
    </row>
    <row r="14" spans="1:11" ht="13.5" customHeight="1">
      <c r="A14" s="2" t="s">
        <v>19</v>
      </c>
      <c r="B14" s="16">
        <v>200</v>
      </c>
      <c r="C14" s="9">
        <f>C5*$B14*C13</f>
        <v>40</v>
      </c>
      <c r="D14" s="9">
        <f>D5*$B14*D13</f>
        <v>300</v>
      </c>
      <c r="E14" s="9">
        <f>E5*$B14*E13</f>
        <v>450</v>
      </c>
      <c r="F14" s="9">
        <f>F5*$B14*F13</f>
        <v>200</v>
      </c>
      <c r="G14" s="6">
        <f>SUM(C14:F14)</f>
        <v>990</v>
      </c>
      <c r="H14" s="32"/>
      <c r="I14" s="17">
        <f>B14</f>
        <v>200</v>
      </c>
      <c r="K14" s="5" t="s">
        <v>137</v>
      </c>
    </row>
    <row r="15" spans="1:11" ht="13.5" customHeight="1">
      <c r="A15" s="2" t="s">
        <v>108</v>
      </c>
      <c r="B15" s="16">
        <v>500</v>
      </c>
      <c r="C15" s="8">
        <f>C6*$B15*C13</f>
        <v>12500</v>
      </c>
      <c r="D15" s="8">
        <f>D6*$B15*D13</f>
        <v>12500</v>
      </c>
      <c r="E15" s="8">
        <f>E6*$B15*E13</f>
        <v>3750</v>
      </c>
      <c r="F15" s="8">
        <f>F6*$B15*F13</f>
        <v>500</v>
      </c>
      <c r="G15" s="6">
        <f>SUM(C15:F15)</f>
        <v>29250</v>
      </c>
      <c r="H15" s="32"/>
      <c r="I15" s="17">
        <f>B15</f>
        <v>500</v>
      </c>
      <c r="K15" s="5" t="s">
        <v>138</v>
      </c>
    </row>
    <row r="16" spans="1:11" ht="13.5" customHeight="1">
      <c r="A16" s="2"/>
      <c r="B16" s="12"/>
      <c r="C16" s="6"/>
      <c r="D16" s="6"/>
      <c r="E16" s="6"/>
      <c r="F16" s="6"/>
      <c r="G16" s="8"/>
      <c r="H16" s="32"/>
      <c r="K16" s="5" t="s">
        <v>139</v>
      </c>
    </row>
    <row r="17" spans="1:11" ht="13.5" customHeight="1">
      <c r="A17" s="3" t="s">
        <v>110</v>
      </c>
      <c r="B17" s="12"/>
      <c r="C17" s="14">
        <v>0.1</v>
      </c>
      <c r="D17" s="14">
        <v>0.75</v>
      </c>
      <c r="E17" s="14">
        <v>1</v>
      </c>
      <c r="F17" s="14">
        <v>1</v>
      </c>
      <c r="G17" s="8"/>
      <c r="H17" s="32"/>
      <c r="K17" s="5" t="s">
        <v>126</v>
      </c>
    </row>
    <row r="18" spans="1:9" ht="13.5" customHeight="1">
      <c r="A18" s="2" t="s">
        <v>19</v>
      </c>
      <c r="B18" s="16">
        <v>100</v>
      </c>
      <c r="C18" s="6">
        <f>C5*$B18*C17</f>
        <v>40</v>
      </c>
      <c r="D18" s="6">
        <f>D5*$B18*D17</f>
        <v>450</v>
      </c>
      <c r="E18" s="6">
        <f>E5*$B18*E17</f>
        <v>300</v>
      </c>
      <c r="F18" s="6">
        <f>F5*$B18*F17</f>
        <v>100</v>
      </c>
      <c r="G18" s="6">
        <f>SUM(C18:F18)</f>
        <v>890</v>
      </c>
      <c r="H18" s="32"/>
      <c r="I18" s="17">
        <f>B18</f>
        <v>100</v>
      </c>
    </row>
    <row r="19" spans="1:11" ht="13.5" customHeight="1">
      <c r="A19" s="2" t="s">
        <v>108</v>
      </c>
      <c r="B19" s="16">
        <v>250</v>
      </c>
      <c r="C19" s="8">
        <f>C6*$B19*C17</f>
        <v>12500</v>
      </c>
      <c r="D19" s="8">
        <f>D6*$B19*D17</f>
        <v>18750</v>
      </c>
      <c r="E19" s="8">
        <f>E6*$B19*E17</f>
        <v>2500</v>
      </c>
      <c r="F19" s="8">
        <f>F6*$B19*F17</f>
        <v>250</v>
      </c>
      <c r="G19" s="6">
        <f>SUM(C19:F19)</f>
        <v>34000</v>
      </c>
      <c r="H19" s="31"/>
      <c r="I19" s="17">
        <f>B19</f>
        <v>250</v>
      </c>
      <c r="K19" s="5" t="s">
        <v>127</v>
      </c>
    </row>
    <row r="20" spans="1:11" ht="13.5" customHeight="1">
      <c r="A20" s="2"/>
      <c r="B20" s="12"/>
      <c r="C20" s="12"/>
      <c r="D20" s="12"/>
      <c r="E20" s="12"/>
      <c r="F20" s="12"/>
      <c r="G20" s="6"/>
      <c r="H20" s="32"/>
      <c r="K20" s="5" t="s">
        <v>128</v>
      </c>
    </row>
    <row r="21" spans="1:8" ht="13.5" customHeight="1">
      <c r="A21" s="3" t="s">
        <v>120</v>
      </c>
      <c r="B21" s="12"/>
      <c r="C21" s="8"/>
      <c r="D21" s="8"/>
      <c r="E21" s="8"/>
      <c r="F21" s="8"/>
      <c r="G21" s="8"/>
      <c r="H21" s="32"/>
    </row>
    <row r="22" spans="1:11" ht="13.5" customHeight="1">
      <c r="A22" s="2" t="s">
        <v>19</v>
      </c>
      <c r="B22" s="6">
        <f aca="true" t="shared" si="0" ref="B22:F23">B10+B14+B18</f>
        <v>800</v>
      </c>
      <c r="C22" s="8">
        <f t="shared" si="0"/>
        <v>120</v>
      </c>
      <c r="D22" s="8">
        <f t="shared" si="0"/>
        <v>900</v>
      </c>
      <c r="E22" s="8">
        <f t="shared" si="0"/>
        <v>1500</v>
      </c>
      <c r="F22" s="8">
        <f t="shared" si="0"/>
        <v>800</v>
      </c>
      <c r="G22" s="71">
        <f>SUM(C22:F22)</f>
        <v>3320</v>
      </c>
      <c r="H22" s="32"/>
      <c r="I22" s="8">
        <f>I10+I14+I18</f>
        <v>800</v>
      </c>
      <c r="K22" s="38" t="s">
        <v>66</v>
      </c>
    </row>
    <row r="23" spans="1:11" ht="13.5" customHeight="1">
      <c r="A23" s="2" t="s">
        <v>108</v>
      </c>
      <c r="B23" s="6">
        <f t="shared" si="0"/>
        <v>2250</v>
      </c>
      <c r="C23" s="8">
        <f t="shared" si="0"/>
        <v>40000</v>
      </c>
      <c r="D23" s="8">
        <f t="shared" si="0"/>
        <v>38750</v>
      </c>
      <c r="E23" s="8">
        <f t="shared" si="0"/>
        <v>13750</v>
      </c>
      <c r="F23" s="8">
        <f t="shared" si="0"/>
        <v>2250</v>
      </c>
      <c r="G23" s="71">
        <f>SUM(C23:F23)</f>
        <v>94750</v>
      </c>
      <c r="H23" s="33"/>
      <c r="I23" s="8">
        <f>I11+I15+I19</f>
        <v>2250</v>
      </c>
      <c r="K23" s="38"/>
    </row>
    <row r="24" spans="1:11" ht="13.5" customHeight="1">
      <c r="A24" s="29"/>
      <c r="B24" s="30"/>
      <c r="C24" s="30"/>
      <c r="D24" s="30"/>
      <c r="E24" s="30"/>
      <c r="F24" s="30"/>
      <c r="G24" s="30"/>
      <c r="H24" s="34"/>
      <c r="K24" s="38" t="s">
        <v>65</v>
      </c>
    </row>
    <row r="25" spans="1:11" ht="13.5" customHeight="1">
      <c r="A25" s="88" t="s">
        <v>99</v>
      </c>
      <c r="B25" s="88"/>
      <c r="C25" s="88"/>
      <c r="D25" s="88"/>
      <c r="E25" s="9"/>
      <c r="F25" s="9"/>
      <c r="G25" s="9"/>
      <c r="K25" s="38" t="s">
        <v>17</v>
      </c>
    </row>
    <row r="26" spans="1:9" ht="13.5" customHeight="1">
      <c r="A26" s="2" t="s">
        <v>117</v>
      </c>
      <c r="B26" s="9"/>
      <c r="C26" s="8">
        <f aca="true" t="shared" si="1" ref="C26:G27">C5</f>
        <v>4</v>
      </c>
      <c r="D26" s="8">
        <f t="shared" si="1"/>
        <v>6</v>
      </c>
      <c r="E26" s="8">
        <f t="shared" si="1"/>
        <v>3</v>
      </c>
      <c r="F26" s="8">
        <f t="shared" si="1"/>
        <v>1</v>
      </c>
      <c r="G26" s="8">
        <f t="shared" si="1"/>
        <v>14</v>
      </c>
      <c r="I26" s="49">
        <f>I22+G26</f>
        <v>814</v>
      </c>
    </row>
    <row r="27" spans="1:9" ht="13.5" customHeight="1">
      <c r="A27" s="2" t="s">
        <v>118</v>
      </c>
      <c r="B27" s="9"/>
      <c r="C27" s="8">
        <f t="shared" si="1"/>
        <v>500</v>
      </c>
      <c r="D27" s="8">
        <f t="shared" si="1"/>
        <v>100</v>
      </c>
      <c r="E27" s="8">
        <f t="shared" si="1"/>
        <v>10</v>
      </c>
      <c r="F27" s="8">
        <f t="shared" si="1"/>
        <v>1</v>
      </c>
      <c r="G27" s="8">
        <f t="shared" si="1"/>
        <v>611</v>
      </c>
      <c r="I27" s="49">
        <f>I23+G27</f>
        <v>2861</v>
      </c>
    </row>
    <row r="30" spans="1:9" ht="13.5" customHeight="1">
      <c r="A30" s="13" t="s">
        <v>10</v>
      </c>
      <c r="B30"/>
      <c r="C30"/>
      <c r="D30"/>
      <c r="E30"/>
      <c r="F30"/>
      <c r="G30"/>
      <c r="H30"/>
      <c r="I30"/>
    </row>
    <row r="31" spans="1:9" ht="13.5" customHeight="1">
      <c r="A31"/>
      <c r="B31"/>
      <c r="C31"/>
      <c r="D31"/>
      <c r="E31"/>
      <c r="F31"/>
      <c r="G31"/>
      <c r="H31"/>
      <c r="I31"/>
    </row>
    <row r="32" spans="1:9" ht="13.5" customHeight="1">
      <c r="A32" s="6"/>
      <c r="B32" s="4" t="s">
        <v>114</v>
      </c>
      <c r="C32" s="4" t="s">
        <v>107</v>
      </c>
      <c r="D32" s="4" t="s">
        <v>109</v>
      </c>
      <c r="E32" s="4" t="s">
        <v>110</v>
      </c>
      <c r="F32" s="4" t="s">
        <v>30</v>
      </c>
      <c r="G32" s="4" t="s">
        <v>116</v>
      </c>
      <c r="H32" s="6"/>
      <c r="I32" s="10" t="s">
        <v>192</v>
      </c>
    </row>
    <row r="33" spans="1:9" ht="13.5" customHeight="1">
      <c r="A33" s="6"/>
      <c r="B33" s="6"/>
      <c r="C33" s="22"/>
      <c r="D33" s="22"/>
      <c r="E33" s="22"/>
      <c r="F33" s="22"/>
      <c r="G33" s="6"/>
      <c r="H33" s="6"/>
      <c r="I33" s="27" t="s">
        <v>100</v>
      </c>
    </row>
    <row r="34" spans="1:9" ht="13.5" customHeight="1">
      <c r="A34" s="2"/>
      <c r="B34" s="6"/>
      <c r="C34" s="22"/>
      <c r="D34" s="22"/>
      <c r="E34" s="22"/>
      <c r="F34" s="22"/>
      <c r="G34" s="6"/>
      <c r="H34" s="6"/>
      <c r="I34" s="27" t="s">
        <v>101</v>
      </c>
    </row>
    <row r="35" spans="1:9" ht="13.5" customHeight="1">
      <c r="A35" s="2"/>
      <c r="B35" s="9"/>
      <c r="C35" s="6"/>
      <c r="D35" s="6"/>
      <c r="E35" s="6"/>
      <c r="F35" s="6"/>
      <c r="G35" s="6"/>
      <c r="H35" s="6"/>
      <c r="I35" s="27" t="s">
        <v>102</v>
      </c>
    </row>
    <row r="36" spans="1:9" ht="13.5" customHeight="1">
      <c r="A36" s="18" t="s">
        <v>20</v>
      </c>
      <c r="B36" s="9"/>
      <c r="C36" s="12"/>
      <c r="D36" s="12"/>
      <c r="E36" s="12"/>
      <c r="F36" s="12"/>
      <c r="G36" s="6"/>
      <c r="H36" s="6"/>
      <c r="I36" s="12"/>
    </row>
    <row r="37" spans="1:9" ht="13.5" customHeight="1">
      <c r="A37" s="3" t="s">
        <v>107</v>
      </c>
      <c r="B37" s="12"/>
      <c r="C37" s="11"/>
      <c r="D37" s="11"/>
      <c r="E37" s="11"/>
      <c r="F37" s="11"/>
      <c r="G37" s="6"/>
      <c r="H37" s="8"/>
      <c r="I37" s="12"/>
    </row>
    <row r="38" spans="1:9" ht="13.5" customHeight="1">
      <c r="A38" s="2" t="s">
        <v>121</v>
      </c>
      <c r="B38" s="12"/>
      <c r="C38" s="78">
        <f>C10/Subscriptions!$B10</f>
        <v>0.08</v>
      </c>
      <c r="D38" s="78">
        <f>D10/Subscriptions!$B10</f>
        <v>0.30000000000000004</v>
      </c>
      <c r="E38" s="78">
        <f>E10/Subscriptions!$B10</f>
        <v>1.5</v>
      </c>
      <c r="F38" s="78">
        <f>F10/Subscriptions!$B10</f>
        <v>1</v>
      </c>
      <c r="G38" s="79">
        <f>G10/Subscriptions!$B10</f>
        <v>2.88</v>
      </c>
      <c r="H38" s="26"/>
      <c r="I38" s="70">
        <f>I10/Subscriptions!$B10</f>
        <v>1</v>
      </c>
    </row>
    <row r="39" spans="1:9" ht="13.5" customHeight="1">
      <c r="A39" s="2" t="s">
        <v>118</v>
      </c>
      <c r="B39" s="12"/>
      <c r="C39" s="78">
        <f>C11/Subscriptions!$B11</f>
        <v>10</v>
      </c>
      <c r="D39" s="78">
        <f>D11/Subscriptions!$B11</f>
        <v>5</v>
      </c>
      <c r="E39" s="78">
        <f>E11/Subscriptions!$B11</f>
        <v>5</v>
      </c>
      <c r="F39" s="78">
        <f>F11/Subscriptions!$B11</f>
        <v>1</v>
      </c>
      <c r="G39" s="79">
        <f>G11/Subscriptions!$B11</f>
        <v>21</v>
      </c>
      <c r="H39" s="26"/>
      <c r="I39" s="70">
        <f>I11/Subscriptions!$B11</f>
        <v>1</v>
      </c>
    </row>
    <row r="40" spans="1:9" ht="13.5" customHeight="1">
      <c r="A40" s="2"/>
      <c r="B40" s="12"/>
      <c r="C40" s="26"/>
      <c r="D40" s="26"/>
      <c r="E40" s="26"/>
      <c r="F40" s="26"/>
      <c r="G40" s="37"/>
      <c r="H40" s="26"/>
      <c r="I40" s="26"/>
    </row>
    <row r="41" spans="1:9" ht="13.5" customHeight="1">
      <c r="A41" s="3" t="s">
        <v>109</v>
      </c>
      <c r="B41" s="12"/>
      <c r="C41" s="26"/>
      <c r="D41" s="26"/>
      <c r="E41" s="26"/>
      <c r="F41" s="26"/>
      <c r="G41" s="37"/>
      <c r="H41" s="26"/>
      <c r="I41" s="26"/>
    </row>
    <row r="42" spans="1:9" ht="13.5" customHeight="1">
      <c r="A42" s="2" t="s">
        <v>19</v>
      </c>
      <c r="B42" s="6"/>
      <c r="C42" s="78">
        <f>C14/Subscriptions!$B14</f>
        <v>0.2</v>
      </c>
      <c r="D42" s="78">
        <f>D14/Subscriptions!$B14</f>
        <v>1.5</v>
      </c>
      <c r="E42" s="78">
        <f>E14/Subscriptions!$B14</f>
        <v>2.25</v>
      </c>
      <c r="F42" s="78">
        <f>F14/Subscriptions!$B14</f>
        <v>1</v>
      </c>
      <c r="G42" s="79">
        <f>SUM(C42:F42)</f>
        <v>4.95</v>
      </c>
      <c r="H42" s="26"/>
      <c r="I42" s="70">
        <f>I14/Subscriptions!$B14</f>
        <v>1</v>
      </c>
    </row>
    <row r="43" spans="1:9" ht="13.5" customHeight="1">
      <c r="A43" s="2" t="s">
        <v>108</v>
      </c>
      <c r="B43" s="6"/>
      <c r="C43" s="78">
        <f>C15/Subscriptions!$B15</f>
        <v>25</v>
      </c>
      <c r="D43" s="78">
        <f>D15/Subscriptions!$B15</f>
        <v>25</v>
      </c>
      <c r="E43" s="78">
        <f>E15/Subscriptions!$B15</f>
        <v>7.5</v>
      </c>
      <c r="F43" s="78">
        <f>F15/Subscriptions!$B15</f>
        <v>1</v>
      </c>
      <c r="G43" s="79">
        <f>SUM(C43:F43)</f>
        <v>58.5</v>
      </c>
      <c r="H43" s="26"/>
      <c r="I43" s="70">
        <f>I15/Subscriptions!$B15</f>
        <v>1</v>
      </c>
    </row>
    <row r="44" spans="1:9" ht="13.5" customHeight="1">
      <c r="A44" s="2"/>
      <c r="B44" s="12"/>
      <c r="C44" s="26"/>
      <c r="D44" s="26"/>
      <c r="E44" s="26"/>
      <c r="F44" s="26"/>
      <c r="G44" s="37"/>
      <c r="H44" s="26"/>
      <c r="I44" s="26"/>
    </row>
    <row r="45" spans="1:9" ht="13.5" customHeight="1">
      <c r="A45" s="3" t="s">
        <v>110</v>
      </c>
      <c r="B45" s="12"/>
      <c r="C45" s="26"/>
      <c r="D45" s="26"/>
      <c r="E45" s="26"/>
      <c r="F45" s="26"/>
      <c r="G45" s="37"/>
      <c r="H45" s="26"/>
      <c r="I45" s="26"/>
    </row>
    <row r="46" spans="1:9" ht="13.5" customHeight="1">
      <c r="A46" s="2" t="s">
        <v>19</v>
      </c>
      <c r="B46" s="6"/>
      <c r="C46" s="78">
        <f>C18/Subscriptions!$B18</f>
        <v>0.4</v>
      </c>
      <c r="D46" s="78">
        <f>D18/Subscriptions!$B18</f>
        <v>4.5</v>
      </c>
      <c r="E46" s="78">
        <f>E18/Subscriptions!$B18</f>
        <v>3</v>
      </c>
      <c r="F46" s="78">
        <f>F18/Subscriptions!$B18</f>
        <v>1</v>
      </c>
      <c r="G46" s="79">
        <f>SUM(C46:F46)</f>
        <v>8.9</v>
      </c>
      <c r="H46" s="26"/>
      <c r="I46" s="70">
        <f>I18/Subscriptions!$B18</f>
        <v>1</v>
      </c>
    </row>
    <row r="47" spans="1:9" ht="13.5" customHeight="1">
      <c r="A47" s="2" t="s">
        <v>108</v>
      </c>
      <c r="B47" s="6"/>
      <c r="C47" s="78">
        <f>C19/Subscriptions!$B19</f>
        <v>50</v>
      </c>
      <c r="D47" s="78">
        <f>D19/Subscriptions!$B19</f>
        <v>75</v>
      </c>
      <c r="E47" s="78">
        <f>E19/Subscriptions!$B19</f>
        <v>10</v>
      </c>
      <c r="F47" s="78">
        <f>F19/Subscriptions!$B19</f>
        <v>1</v>
      </c>
      <c r="G47" s="79">
        <f>SUM(C47:F47)</f>
        <v>136</v>
      </c>
      <c r="H47" s="26"/>
      <c r="I47" s="70">
        <f>I19/Subscriptions!$B19</f>
        <v>1</v>
      </c>
    </row>
    <row r="48" spans="1:9" ht="13.5" customHeight="1">
      <c r="A48" s="2"/>
      <c r="B48" s="12"/>
      <c r="C48" s="26"/>
      <c r="D48" s="26"/>
      <c r="E48" s="26"/>
      <c r="F48" s="26"/>
      <c r="G48" s="26"/>
      <c r="H48" s="26"/>
      <c r="I48" s="26"/>
    </row>
    <row r="49" spans="1:9" ht="13.5" customHeight="1">
      <c r="A49" s="3" t="s">
        <v>120</v>
      </c>
      <c r="B49" s="12"/>
      <c r="C49" s="26"/>
      <c r="D49" s="26"/>
      <c r="E49" s="26"/>
      <c r="F49" s="26"/>
      <c r="G49" s="26"/>
      <c r="H49" s="26"/>
      <c r="I49" s="26"/>
    </row>
    <row r="50" spans="1:9" ht="13.5" customHeight="1">
      <c r="A50" s="2" t="s">
        <v>19</v>
      </c>
      <c r="B50" s="6"/>
      <c r="C50" s="26"/>
      <c r="D50" s="26"/>
      <c r="E50" s="26"/>
      <c r="F50" s="26"/>
      <c r="G50" s="26"/>
      <c r="H50" s="26"/>
      <c r="I50" s="26"/>
    </row>
    <row r="51" spans="1:9" ht="13.5" customHeight="1">
      <c r="A51" s="2" t="s">
        <v>108</v>
      </c>
      <c r="B51" s="6"/>
      <c r="C51" s="26"/>
      <c r="D51" s="26"/>
      <c r="E51" s="26"/>
      <c r="F51" s="26"/>
      <c r="G51" s="26"/>
      <c r="H51" s="26"/>
      <c r="I51" s="26"/>
    </row>
    <row r="52" spans="1:9" ht="13.5" customHeight="1">
      <c r="A52" s="2"/>
      <c r="B52" s="12"/>
      <c r="C52" s="26"/>
      <c r="D52" s="26"/>
      <c r="E52" s="26"/>
      <c r="F52" s="26"/>
      <c r="G52" s="26"/>
      <c r="H52" s="26"/>
      <c r="I52" s="26"/>
    </row>
    <row r="53" spans="1:9" ht="13.5" customHeight="1">
      <c r="A53" s="3" t="s">
        <v>119</v>
      </c>
      <c r="B53" s="12"/>
      <c r="C53" s="26"/>
      <c r="D53" s="26"/>
      <c r="E53" s="26"/>
      <c r="F53" s="26"/>
      <c r="G53" s="26"/>
      <c r="H53" s="26"/>
      <c r="I53" s="26"/>
    </row>
    <row r="54" spans="1:9" ht="13.5" customHeight="1">
      <c r="A54" s="2" t="s">
        <v>117</v>
      </c>
      <c r="B54" s="6"/>
      <c r="C54" s="26"/>
      <c r="D54" s="26"/>
      <c r="E54" s="26"/>
      <c r="F54" s="26"/>
      <c r="G54" s="26"/>
      <c r="H54" s="26"/>
      <c r="I54" s="26"/>
    </row>
    <row r="55" spans="1:9" ht="13.5" customHeight="1">
      <c r="A55" s="2" t="s">
        <v>118</v>
      </c>
      <c r="B55" s="6"/>
      <c r="C55" s="26"/>
      <c r="D55" s="26"/>
      <c r="E55" s="26"/>
      <c r="F55" s="26"/>
      <c r="G55" s="26"/>
      <c r="H55" s="26"/>
      <c r="I55" s="26"/>
    </row>
    <row r="56" spans="1:9" ht="13.5" customHeight="1">
      <c r="A56"/>
      <c r="B56"/>
      <c r="C56"/>
      <c r="D56"/>
      <c r="E56"/>
      <c r="F56"/>
      <c r="G56"/>
      <c r="H56"/>
      <c r="I56"/>
    </row>
    <row r="57" spans="1:9" ht="13.5" customHeight="1">
      <c r="A57"/>
      <c r="B57"/>
      <c r="C57"/>
      <c r="D57"/>
      <c r="E57"/>
      <c r="F57"/>
      <c r="G57"/>
      <c r="H57"/>
      <c r="I57"/>
    </row>
    <row r="58" spans="1:9" ht="13.5" customHeight="1">
      <c r="A58" s="13" t="s">
        <v>11</v>
      </c>
      <c r="B58"/>
      <c r="C58"/>
      <c r="D58"/>
      <c r="E58"/>
      <c r="F58"/>
      <c r="G58"/>
      <c r="H58"/>
      <c r="I58"/>
    </row>
    <row r="59" spans="1:9" ht="13.5" customHeight="1">
      <c r="A59"/>
      <c r="B59"/>
      <c r="C59"/>
      <c r="D59"/>
      <c r="E59"/>
      <c r="F59"/>
      <c r="G59"/>
      <c r="H59"/>
      <c r="I59"/>
    </row>
    <row r="60" spans="1:9" ht="13.5" customHeight="1">
      <c r="A60" s="6"/>
      <c r="B60" s="4" t="s">
        <v>114</v>
      </c>
      <c r="C60" s="4" t="s">
        <v>107</v>
      </c>
      <c r="D60" s="4" t="s">
        <v>109</v>
      </c>
      <c r="E60" s="4" t="s">
        <v>110</v>
      </c>
      <c r="F60" s="4" t="s">
        <v>30</v>
      </c>
      <c r="G60" s="4" t="s">
        <v>116</v>
      </c>
      <c r="H60" s="6"/>
      <c r="I60" s="10" t="s">
        <v>192</v>
      </c>
    </row>
    <row r="61" spans="1:9" ht="13.5" customHeight="1">
      <c r="A61" s="6"/>
      <c r="B61" s="6"/>
      <c r="C61" s="22"/>
      <c r="D61" s="22"/>
      <c r="E61" s="22"/>
      <c r="F61" s="22"/>
      <c r="G61" s="6"/>
      <c r="H61" s="6"/>
      <c r="I61" s="27" t="s">
        <v>100</v>
      </c>
    </row>
    <row r="62" spans="1:9" ht="13.5" customHeight="1">
      <c r="A62" s="2"/>
      <c r="B62" s="6"/>
      <c r="C62" s="22"/>
      <c r="D62" s="22"/>
      <c r="E62" s="22"/>
      <c r="F62" s="22"/>
      <c r="G62" s="6"/>
      <c r="H62" s="6"/>
      <c r="I62" s="27" t="s">
        <v>101</v>
      </c>
    </row>
    <row r="63" spans="1:9" ht="13.5" customHeight="1">
      <c r="A63" s="2"/>
      <c r="B63" s="9"/>
      <c r="C63" s="6"/>
      <c r="D63" s="6"/>
      <c r="E63" s="6"/>
      <c r="F63" s="6"/>
      <c r="G63" s="6"/>
      <c r="H63" s="6"/>
      <c r="I63" s="27" t="s">
        <v>102</v>
      </c>
    </row>
    <row r="64" spans="1:9" ht="13.5" customHeight="1">
      <c r="A64" s="18" t="s">
        <v>20</v>
      </c>
      <c r="B64" s="9"/>
      <c r="C64" s="12"/>
      <c r="D64" s="12"/>
      <c r="E64" s="12"/>
      <c r="F64" s="12"/>
      <c r="G64" s="6"/>
      <c r="H64" s="6"/>
      <c r="I64" s="12"/>
    </row>
    <row r="65" spans="1:9" ht="13.5" customHeight="1">
      <c r="A65" s="3" t="s">
        <v>107</v>
      </c>
      <c r="B65" s="12"/>
      <c r="C65" s="11"/>
      <c r="D65" s="11"/>
      <c r="E65" s="11"/>
      <c r="F65" s="11"/>
      <c r="G65" s="6"/>
      <c r="H65" s="8"/>
      <c r="I65" s="12"/>
    </row>
    <row r="66" spans="1:9" ht="13.5" customHeight="1">
      <c r="A66" s="2" t="s">
        <v>121</v>
      </c>
      <c r="B66" s="12"/>
      <c r="C66" s="78">
        <f>C10/Subscriptions!C$5</f>
        <v>10</v>
      </c>
      <c r="D66" s="78">
        <f>D10/Subscriptions!D$5</f>
        <v>25.000000000000004</v>
      </c>
      <c r="E66" s="78">
        <f>E10/Subscriptions!E$5</f>
        <v>250</v>
      </c>
      <c r="F66" s="78">
        <f>F10/Subscriptions!F$5</f>
        <v>500</v>
      </c>
      <c r="G66" s="26"/>
      <c r="H66" s="26"/>
      <c r="I66" s="26"/>
    </row>
    <row r="67" spans="1:9" ht="13.5" customHeight="1">
      <c r="A67" s="2" t="s">
        <v>118</v>
      </c>
      <c r="B67" s="12"/>
      <c r="C67" s="78">
        <f>C11/Subscriptions!C$6</f>
        <v>30</v>
      </c>
      <c r="D67" s="78">
        <f>D11/Subscriptions!D$6</f>
        <v>75</v>
      </c>
      <c r="E67" s="78">
        <f>E11/Subscriptions!E$6</f>
        <v>750</v>
      </c>
      <c r="F67" s="78">
        <f>F11/Subscriptions!F$6</f>
        <v>1500</v>
      </c>
      <c r="G67" s="26"/>
      <c r="H67" s="26"/>
      <c r="I67" s="26"/>
    </row>
    <row r="68" spans="1:9" ht="13.5" customHeight="1">
      <c r="A68" s="2"/>
      <c r="B68" s="12"/>
      <c r="C68" s="78"/>
      <c r="D68" s="78"/>
      <c r="E68" s="78"/>
      <c r="F68" s="78"/>
      <c r="G68" s="26"/>
      <c r="H68" s="26"/>
      <c r="I68" s="26"/>
    </row>
    <row r="69" spans="1:9" ht="13.5" customHeight="1">
      <c r="A69" s="3" t="s">
        <v>109</v>
      </c>
      <c r="B69" s="12"/>
      <c r="C69" s="78"/>
      <c r="D69" s="78"/>
      <c r="E69" s="78"/>
      <c r="F69" s="78"/>
      <c r="G69" s="26"/>
      <c r="H69" s="26"/>
      <c r="I69" s="26"/>
    </row>
    <row r="70" spans="1:9" ht="13.5" customHeight="1">
      <c r="A70" s="2" t="s">
        <v>19</v>
      </c>
      <c r="B70" s="6"/>
      <c r="C70" s="78">
        <f>C14/Subscriptions!C$5</f>
        <v>10</v>
      </c>
      <c r="D70" s="78">
        <f>D14/Subscriptions!D$5</f>
        <v>50</v>
      </c>
      <c r="E70" s="78">
        <f>E14/Subscriptions!E$5</f>
        <v>150</v>
      </c>
      <c r="F70" s="78">
        <f>F14/Subscriptions!F$5</f>
        <v>200</v>
      </c>
      <c r="G70" s="26"/>
      <c r="H70" s="26"/>
      <c r="I70" s="26"/>
    </row>
    <row r="71" spans="1:9" ht="13.5" customHeight="1">
      <c r="A71" s="2" t="s">
        <v>108</v>
      </c>
      <c r="B71" s="6"/>
      <c r="C71" s="78">
        <f>C15/Subscriptions!C$6</f>
        <v>25</v>
      </c>
      <c r="D71" s="78">
        <f>D15/Subscriptions!D$6</f>
        <v>125</v>
      </c>
      <c r="E71" s="78">
        <f>E15/Subscriptions!E$6</f>
        <v>375</v>
      </c>
      <c r="F71" s="78">
        <f>F15/Subscriptions!F$6</f>
        <v>500</v>
      </c>
      <c r="G71" s="26"/>
      <c r="H71" s="26"/>
      <c r="I71" s="26"/>
    </row>
    <row r="72" spans="1:9" ht="13.5" customHeight="1">
      <c r="A72" s="2"/>
      <c r="B72" s="12"/>
      <c r="C72" s="78"/>
      <c r="D72" s="78"/>
      <c r="E72" s="78"/>
      <c r="F72" s="78"/>
      <c r="G72" s="26"/>
      <c r="H72" s="26"/>
      <c r="I72" s="26"/>
    </row>
    <row r="73" spans="1:9" ht="13.5" customHeight="1">
      <c r="A73" s="3" t="s">
        <v>110</v>
      </c>
      <c r="B73" s="12"/>
      <c r="C73" s="78"/>
      <c r="D73" s="78"/>
      <c r="E73" s="78"/>
      <c r="F73" s="78"/>
      <c r="G73" s="26"/>
      <c r="H73" s="26"/>
      <c r="I73" s="26"/>
    </row>
    <row r="74" spans="1:9" ht="13.5" customHeight="1">
      <c r="A74" s="2" t="s">
        <v>19</v>
      </c>
      <c r="B74" s="6"/>
      <c r="C74" s="78">
        <f>C18/Subscriptions!C$5</f>
        <v>10</v>
      </c>
      <c r="D74" s="78">
        <f>D18/Subscriptions!D$5</f>
        <v>75</v>
      </c>
      <c r="E74" s="78">
        <f>E18/Subscriptions!E$5</f>
        <v>100</v>
      </c>
      <c r="F74" s="78">
        <f>F18/Subscriptions!F$5</f>
        <v>100</v>
      </c>
      <c r="G74" s="26"/>
      <c r="H74" s="26"/>
      <c r="I74" s="26"/>
    </row>
    <row r="75" spans="1:9" ht="13.5" customHeight="1">
      <c r="A75" s="2" t="s">
        <v>108</v>
      </c>
      <c r="B75" s="6"/>
      <c r="C75" s="78">
        <f>C19/Subscriptions!C$6</f>
        <v>25</v>
      </c>
      <c r="D75" s="78">
        <f>D19/Subscriptions!D$6</f>
        <v>187.5</v>
      </c>
      <c r="E75" s="78">
        <f>E19/Subscriptions!E$6</f>
        <v>250</v>
      </c>
      <c r="F75" s="78">
        <f>F19/Subscriptions!F$6</f>
        <v>250</v>
      </c>
      <c r="G75" s="26"/>
      <c r="H75" s="26"/>
      <c r="I75" s="26"/>
    </row>
    <row r="76" spans="1:9" ht="13.5" customHeight="1">
      <c r="A76" s="2"/>
      <c r="B76" s="12"/>
      <c r="C76" s="78"/>
      <c r="D76" s="78"/>
      <c r="E76" s="78"/>
      <c r="F76" s="78"/>
      <c r="G76" s="26"/>
      <c r="H76" s="26"/>
      <c r="I76" s="26"/>
    </row>
    <row r="77" spans="1:9" ht="13.5" customHeight="1">
      <c r="A77" s="3" t="s">
        <v>120</v>
      </c>
      <c r="B77" s="12"/>
      <c r="C77" s="78"/>
      <c r="D77" s="78"/>
      <c r="E77" s="78"/>
      <c r="F77" s="78"/>
      <c r="G77" s="26"/>
      <c r="H77" s="26"/>
      <c r="I77" s="26"/>
    </row>
    <row r="78" spans="1:9" ht="13.5" customHeight="1">
      <c r="A78" s="2" t="s">
        <v>19</v>
      </c>
      <c r="B78" s="6"/>
      <c r="C78" s="79">
        <f>C66+C70+C74</f>
        <v>30</v>
      </c>
      <c r="D78" s="79">
        <f aca="true" t="shared" si="2" ref="D78:F79">D66+D70+D74</f>
        <v>150</v>
      </c>
      <c r="E78" s="79">
        <f t="shared" si="2"/>
        <v>500</v>
      </c>
      <c r="F78" s="79">
        <f t="shared" si="2"/>
        <v>800</v>
      </c>
      <c r="G78" s="26"/>
      <c r="H78" s="26"/>
      <c r="I78" s="26"/>
    </row>
    <row r="79" spans="1:9" ht="13.5" customHeight="1">
      <c r="A79" s="2" t="s">
        <v>108</v>
      </c>
      <c r="B79" s="6"/>
      <c r="C79" s="79">
        <f>C67+C71+C75</f>
        <v>80</v>
      </c>
      <c r="D79" s="79">
        <f t="shared" si="2"/>
        <v>387.5</v>
      </c>
      <c r="E79" s="79">
        <f t="shared" si="2"/>
        <v>1375</v>
      </c>
      <c r="F79" s="79">
        <f t="shared" si="2"/>
        <v>2250</v>
      </c>
      <c r="G79" s="26"/>
      <c r="H79" s="26"/>
      <c r="I79" s="26"/>
    </row>
    <row r="80" spans="1:9" ht="13.5" customHeight="1">
      <c r="A80" s="2"/>
      <c r="B80" s="12"/>
      <c r="C80" s="78"/>
      <c r="D80" s="78"/>
      <c r="E80" s="78"/>
      <c r="F80" s="78"/>
      <c r="G80" s="26"/>
      <c r="H80" s="26"/>
      <c r="I80" s="26"/>
    </row>
    <row r="81" spans="1:9" ht="13.5" customHeight="1">
      <c r="A81" s="3" t="s">
        <v>119</v>
      </c>
      <c r="B81" s="12"/>
      <c r="C81" s="78"/>
      <c r="D81" s="78"/>
      <c r="E81" s="78"/>
      <c r="F81" s="78"/>
      <c r="G81" s="26"/>
      <c r="H81" s="26"/>
      <c r="I81" s="26"/>
    </row>
    <row r="82" spans="1:9" ht="13.5" customHeight="1">
      <c r="A82" s="2" t="s">
        <v>117</v>
      </c>
      <c r="B82" s="6"/>
      <c r="C82" s="70">
        <f>C26/Subscriptions!C$5</f>
        <v>1</v>
      </c>
      <c r="D82" s="70">
        <f>D26/Subscriptions!D$5</f>
        <v>1</v>
      </c>
      <c r="E82" s="70">
        <f>E26/Subscriptions!E$5</f>
        <v>1</v>
      </c>
      <c r="F82" s="70">
        <f>F26/Subscriptions!F$5</f>
        <v>1</v>
      </c>
      <c r="G82" s="26"/>
      <c r="H82" s="26"/>
      <c r="I82" s="26"/>
    </row>
    <row r="83" spans="1:9" ht="13.5" customHeight="1">
      <c r="A83" s="2" t="s">
        <v>118</v>
      </c>
      <c r="B83" s="6"/>
      <c r="C83" s="70">
        <f>C27/Subscriptions!C$6</f>
        <v>1</v>
      </c>
      <c r="D83" s="70">
        <f>D27/Subscriptions!D$6</f>
        <v>1</v>
      </c>
      <c r="E83" s="70">
        <f>E27/Subscriptions!E$6</f>
        <v>1</v>
      </c>
      <c r="F83" s="70">
        <f>F27/Subscriptions!F$6</f>
        <v>1</v>
      </c>
      <c r="G83" s="26"/>
      <c r="H83" s="26"/>
      <c r="I83" s="26"/>
    </row>
    <row r="84" spans="1:9" ht="13.5" customHeight="1">
      <c r="A84"/>
      <c r="B84"/>
      <c r="C84"/>
      <c r="D84"/>
      <c r="E84"/>
      <c r="F84"/>
      <c r="G84"/>
      <c r="H84"/>
      <c r="I84"/>
    </row>
    <row r="85" spans="1:9" ht="13.5" customHeight="1">
      <c r="A85"/>
      <c r="B85"/>
      <c r="C85"/>
      <c r="D85"/>
      <c r="E85"/>
      <c r="F85"/>
      <c r="G85"/>
      <c r="H85"/>
      <c r="I85"/>
    </row>
  </sheetData>
  <sheetProtection/>
  <mergeCells count="3">
    <mergeCell ref="A1:I1"/>
    <mergeCell ref="A2:H2"/>
    <mergeCell ref="A25:D25"/>
  </mergeCells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="125" zoomScaleNormal="125" zoomScalePageLayoutView="0" workbookViewId="0" topLeftCell="A1">
      <selection activeCell="I38" sqref="I38"/>
    </sheetView>
  </sheetViews>
  <sheetFormatPr defaultColWidth="12.00390625" defaultRowHeight="13.5" customHeight="1"/>
  <cols>
    <col min="1" max="9" width="12.00390625" style="0" customWidth="1"/>
    <col min="10" max="10" width="2.28125" style="52" customWidth="1"/>
    <col min="11" max="11" width="12.00390625" style="0" customWidth="1"/>
    <col min="12" max="12" width="13.421875" style="0" customWidth="1"/>
  </cols>
  <sheetData>
    <row r="1" spans="1:9" ht="13.5" customHeight="1">
      <c r="A1" s="86" t="s">
        <v>64</v>
      </c>
      <c r="B1" s="86"/>
      <c r="C1" s="86"/>
      <c r="D1" s="86"/>
      <c r="E1" s="86"/>
      <c r="F1" s="86"/>
      <c r="G1" s="86"/>
      <c r="H1" s="86"/>
      <c r="I1" s="86"/>
    </row>
    <row r="2" spans="1:11" ht="13.5" customHeight="1">
      <c r="A2" s="87" t="s">
        <v>98</v>
      </c>
      <c r="B2" s="87"/>
      <c r="C2" s="87"/>
      <c r="D2" s="87"/>
      <c r="E2" s="87"/>
      <c r="F2" s="87"/>
      <c r="G2" s="87"/>
      <c r="H2" s="87"/>
      <c r="I2" s="87"/>
      <c r="K2" t="s">
        <v>166</v>
      </c>
    </row>
    <row r="3" spans="1:11" ht="13.5" customHeight="1">
      <c r="A3" s="5"/>
      <c r="B3" s="5"/>
      <c r="C3" s="5"/>
      <c r="D3" s="5"/>
      <c r="E3" s="5"/>
      <c r="F3" s="5"/>
      <c r="G3" s="5"/>
      <c r="H3" s="5"/>
      <c r="I3" s="9"/>
      <c r="K3" t="s">
        <v>60</v>
      </c>
    </row>
    <row r="4" spans="1:11" ht="13.5" customHeight="1">
      <c r="A4" s="6"/>
      <c r="B4" s="4" t="s">
        <v>111</v>
      </c>
      <c r="C4" s="4" t="s">
        <v>107</v>
      </c>
      <c r="D4" s="4" t="s">
        <v>109</v>
      </c>
      <c r="E4" s="4" t="s">
        <v>110</v>
      </c>
      <c r="F4" s="4" t="s">
        <v>30</v>
      </c>
      <c r="G4" s="4" t="s">
        <v>116</v>
      </c>
      <c r="H4" s="6"/>
      <c r="I4" s="10" t="s">
        <v>192</v>
      </c>
      <c r="K4" t="s">
        <v>169</v>
      </c>
    </row>
    <row r="5" spans="1:11" ht="13.5" customHeight="1">
      <c r="A5" s="6"/>
      <c r="B5" s="6" t="s">
        <v>19</v>
      </c>
      <c r="C5" s="6"/>
      <c r="D5" s="6"/>
      <c r="E5" s="6"/>
      <c r="F5" s="6"/>
      <c r="G5" s="6"/>
      <c r="H5" s="6"/>
      <c r="I5" s="27" t="s">
        <v>100</v>
      </c>
      <c r="K5" t="s">
        <v>167</v>
      </c>
    </row>
    <row r="6" spans="1:11" ht="13.5" customHeight="1">
      <c r="A6" s="2"/>
      <c r="B6" s="6" t="s">
        <v>108</v>
      </c>
      <c r="C6" s="6"/>
      <c r="D6" s="6"/>
      <c r="E6" s="6"/>
      <c r="F6" s="6"/>
      <c r="G6" s="6"/>
      <c r="H6" s="6"/>
      <c r="I6" s="27" t="s">
        <v>101</v>
      </c>
      <c r="K6" t="s">
        <v>168</v>
      </c>
    </row>
    <row r="7" spans="1:9" ht="13.5" customHeight="1">
      <c r="A7" s="2"/>
      <c r="B7" s="9"/>
      <c r="C7" s="6"/>
      <c r="D7" s="6"/>
      <c r="E7" s="6"/>
      <c r="F7" s="6"/>
      <c r="G7" s="6"/>
      <c r="H7" s="6"/>
      <c r="I7" s="27" t="s">
        <v>102</v>
      </c>
    </row>
    <row r="8" spans="1:13" ht="13.5" customHeight="1">
      <c r="A8" s="3" t="s">
        <v>29</v>
      </c>
      <c r="B8" s="9"/>
      <c r="C8" s="9"/>
      <c r="D8" s="9"/>
      <c r="E8" s="9"/>
      <c r="F8" s="9"/>
      <c r="G8" s="6"/>
      <c r="H8" s="6"/>
      <c r="I8" s="12"/>
      <c r="M8" t="s">
        <v>61</v>
      </c>
    </row>
    <row r="9" spans="1:13" ht="13.5" customHeight="1">
      <c r="A9" s="3" t="s">
        <v>107</v>
      </c>
      <c r="B9" s="9"/>
      <c r="C9" s="11"/>
      <c r="D9" s="11"/>
      <c r="E9" s="11"/>
      <c r="F9" s="11"/>
      <c r="G9" s="6"/>
      <c r="H9" s="8"/>
      <c r="I9" s="12"/>
      <c r="K9" s="38" t="s">
        <v>8</v>
      </c>
      <c r="M9" t="s">
        <v>58</v>
      </c>
    </row>
    <row r="10" spans="1:13" ht="13.5" customHeight="1">
      <c r="A10" s="2" t="s">
        <v>121</v>
      </c>
      <c r="B10" s="9"/>
      <c r="C10" s="25">
        <f>$M$22*Subscriptions!C10</f>
        <v>2000</v>
      </c>
      <c r="D10" s="25">
        <f>$M$22*Subscriptions!D10</f>
        <v>7500.000000000002</v>
      </c>
      <c r="E10" s="25">
        <f>$M$22*Subscriptions!E10</f>
        <v>37500</v>
      </c>
      <c r="F10" s="25">
        <f>$M$22*Subscriptions!F10</f>
        <v>25000</v>
      </c>
      <c r="G10" s="26">
        <f>SUM(C10:F10)</f>
        <v>72000</v>
      </c>
      <c r="H10" s="32"/>
      <c r="I10" s="25">
        <f>$M$22*2*Subscriptions!I10</f>
        <v>50000</v>
      </c>
      <c r="K10" t="s">
        <v>3</v>
      </c>
      <c r="M10">
        <v>0.2</v>
      </c>
    </row>
    <row r="11" spans="1:13" ht="13.5" customHeight="1">
      <c r="A11" s="2" t="s">
        <v>118</v>
      </c>
      <c r="B11" s="9"/>
      <c r="C11" s="25">
        <f>$M$22*Subscriptions!C11</f>
        <v>750000</v>
      </c>
      <c r="D11" s="25">
        <f>$M$22*Subscriptions!D11</f>
        <v>375000</v>
      </c>
      <c r="E11" s="25">
        <f>$M$22*Subscriptions!E11</f>
        <v>375000</v>
      </c>
      <c r="F11" s="25">
        <f>$M$22*Subscriptions!F11</f>
        <v>75000</v>
      </c>
      <c r="G11" s="26">
        <f>SUM(C11:F11)</f>
        <v>1575000</v>
      </c>
      <c r="H11" s="32"/>
      <c r="I11" s="25">
        <f>$M$22*2*Subscriptions!I11</f>
        <v>150000</v>
      </c>
      <c r="K11" t="s">
        <v>4</v>
      </c>
      <c r="M11">
        <v>0.2</v>
      </c>
    </row>
    <row r="12" spans="1:13" ht="13.5" customHeight="1">
      <c r="A12" s="2"/>
      <c r="B12" s="9"/>
      <c r="C12" s="6"/>
      <c r="D12" s="6"/>
      <c r="E12" s="6"/>
      <c r="F12" s="6"/>
      <c r="G12" s="26"/>
      <c r="H12" s="32"/>
      <c r="I12" s="28"/>
      <c r="K12" t="s">
        <v>5</v>
      </c>
      <c r="M12">
        <v>0.2</v>
      </c>
    </row>
    <row r="13" spans="1:13" ht="13.5" customHeight="1">
      <c r="A13" s="3" t="s">
        <v>109</v>
      </c>
      <c r="B13" s="9"/>
      <c r="C13" s="11"/>
      <c r="D13" s="11"/>
      <c r="E13" s="11"/>
      <c r="F13" s="11"/>
      <c r="G13" s="26"/>
      <c r="H13" s="32"/>
      <c r="I13" s="28"/>
      <c r="K13" t="s">
        <v>6</v>
      </c>
      <c r="M13">
        <v>0.2</v>
      </c>
    </row>
    <row r="14" spans="1:13" ht="13.5" customHeight="1">
      <c r="A14" s="2" t="s">
        <v>19</v>
      </c>
      <c r="B14" s="9"/>
      <c r="C14" s="25">
        <f>$M$22*Subscriptions!C14</f>
        <v>2000</v>
      </c>
      <c r="D14" s="25">
        <f>$M$22*Subscriptions!D14</f>
        <v>15000</v>
      </c>
      <c r="E14" s="25">
        <f>$M$22*Subscriptions!E14</f>
        <v>22500</v>
      </c>
      <c r="F14" s="25">
        <f>$M$22*Subscriptions!F14</f>
        <v>10000</v>
      </c>
      <c r="G14" s="26">
        <f>SUM(C14:F14)</f>
        <v>49500</v>
      </c>
      <c r="H14" s="32"/>
      <c r="I14" s="25">
        <f>$M$22*2*Subscriptions!I14</f>
        <v>20000</v>
      </c>
      <c r="K14" t="s">
        <v>7</v>
      </c>
      <c r="M14">
        <v>0.2</v>
      </c>
    </row>
    <row r="15" spans="1:11" ht="13.5" customHeight="1">
      <c r="A15" s="2" t="s">
        <v>108</v>
      </c>
      <c r="B15" s="9"/>
      <c r="C15" s="25">
        <f>$M$22*Subscriptions!C15</f>
        <v>625000</v>
      </c>
      <c r="D15" s="25">
        <f>$M$22*Subscriptions!D15</f>
        <v>625000</v>
      </c>
      <c r="E15" s="25">
        <f>$M$22*Subscriptions!E15</f>
        <v>187500</v>
      </c>
      <c r="F15" s="25">
        <f>$M$22*Subscriptions!F15</f>
        <v>25000</v>
      </c>
      <c r="G15" s="26">
        <f>SUM(C15:F15)</f>
        <v>1462500</v>
      </c>
      <c r="H15" s="32"/>
      <c r="I15" s="25">
        <f>$M$22*2*Subscriptions!I15</f>
        <v>50000</v>
      </c>
      <c r="K15" t="s">
        <v>55</v>
      </c>
    </row>
    <row r="16" spans="1:13" ht="13.5" customHeight="1">
      <c r="A16" s="2"/>
      <c r="B16" s="9"/>
      <c r="C16" s="6"/>
      <c r="D16" s="6"/>
      <c r="E16" s="6"/>
      <c r="F16" s="6"/>
      <c r="G16" s="26"/>
      <c r="H16" s="32"/>
      <c r="I16" s="28"/>
      <c r="K16" t="s">
        <v>57</v>
      </c>
      <c r="M16">
        <f>SUM(M10:M14)</f>
        <v>1</v>
      </c>
    </row>
    <row r="17" spans="1:9" ht="13.5" customHeight="1">
      <c r="A17" s="3" t="s">
        <v>110</v>
      </c>
      <c r="B17" s="9"/>
      <c r="C17" s="11"/>
      <c r="D17" s="11"/>
      <c r="E17" s="11"/>
      <c r="F17" s="11"/>
      <c r="G17" s="26"/>
      <c r="H17" s="32"/>
      <c r="I17" s="28"/>
    </row>
    <row r="18" spans="1:9" ht="13.5" customHeight="1">
      <c r="A18" s="2" t="s">
        <v>19</v>
      </c>
      <c r="B18" s="9"/>
      <c r="C18" s="25">
        <f>$M$22*Subscriptions!C18</f>
        <v>2000</v>
      </c>
      <c r="D18" s="25">
        <f>$M$22*Subscriptions!D18</f>
        <v>22500</v>
      </c>
      <c r="E18" s="25">
        <f>$M$22*Subscriptions!E18</f>
        <v>15000</v>
      </c>
      <c r="F18" s="25">
        <f>$M$22*Subscriptions!F18</f>
        <v>5000</v>
      </c>
      <c r="G18" s="26">
        <f>SUM(C18:F18)</f>
        <v>44500</v>
      </c>
      <c r="H18" s="32"/>
      <c r="I18" s="25">
        <f>$M$22*2*Subscriptions!I18</f>
        <v>10000</v>
      </c>
    </row>
    <row r="19" spans="1:11" ht="13.5" customHeight="1">
      <c r="A19" s="2" t="s">
        <v>108</v>
      </c>
      <c r="B19" s="9"/>
      <c r="C19" s="25">
        <f>$M$22*Subscriptions!C19</f>
        <v>625000</v>
      </c>
      <c r="D19" s="25">
        <f>$M$22*Subscriptions!D19</f>
        <v>937500</v>
      </c>
      <c r="E19" s="25">
        <f>$M$22*Subscriptions!E19</f>
        <v>125000</v>
      </c>
      <c r="F19" s="25">
        <f>$M$22*Subscriptions!F19</f>
        <v>12500</v>
      </c>
      <c r="G19" s="26">
        <f>SUM(C19:F19)</f>
        <v>1700000</v>
      </c>
      <c r="H19" s="31"/>
      <c r="I19" s="25">
        <f>$M$22*2*Subscriptions!I19</f>
        <v>25000</v>
      </c>
      <c r="K19" t="s">
        <v>61</v>
      </c>
    </row>
    <row r="20" spans="1:13" ht="13.5" customHeight="1">
      <c r="A20" s="2"/>
      <c r="B20" s="9"/>
      <c r="C20" s="12"/>
      <c r="D20" s="12"/>
      <c r="E20" s="12"/>
      <c r="F20" s="12"/>
      <c r="G20" s="6"/>
      <c r="H20" s="32"/>
      <c r="I20" s="28"/>
      <c r="K20" t="s">
        <v>56</v>
      </c>
      <c r="M20" s="84">
        <v>50</v>
      </c>
    </row>
    <row r="21" spans="1:9" ht="13.5" customHeight="1">
      <c r="A21" s="3" t="s">
        <v>120</v>
      </c>
      <c r="B21" s="9"/>
      <c r="C21" s="8"/>
      <c r="D21" s="8"/>
      <c r="E21" s="8"/>
      <c r="F21" s="8"/>
      <c r="G21" s="8"/>
      <c r="H21" s="32"/>
      <c r="I21" s="28"/>
    </row>
    <row r="22" spans="1:13" ht="13.5" customHeight="1">
      <c r="A22" s="2" t="s">
        <v>19</v>
      </c>
      <c r="B22" s="9"/>
      <c r="C22" s="26">
        <f aca="true" t="shared" si="0" ref="C22:F23">C10+C14+C18</f>
        <v>6000</v>
      </c>
      <c r="D22" s="26">
        <f t="shared" si="0"/>
        <v>45000</v>
      </c>
      <c r="E22" s="26">
        <f t="shared" si="0"/>
        <v>75000</v>
      </c>
      <c r="F22" s="26">
        <f t="shared" si="0"/>
        <v>40000</v>
      </c>
      <c r="G22" s="69">
        <f>SUM(C22:F22)</f>
        <v>166000</v>
      </c>
      <c r="H22" s="32"/>
      <c r="I22" s="26">
        <f>I10+I14+I18</f>
        <v>80000</v>
      </c>
      <c r="K22" t="s">
        <v>59</v>
      </c>
      <c r="M22" s="83">
        <f>M16*M20</f>
        <v>50</v>
      </c>
    </row>
    <row r="23" spans="1:9" ht="13.5" customHeight="1">
      <c r="A23" s="2" t="s">
        <v>108</v>
      </c>
      <c r="B23" s="9"/>
      <c r="C23" s="26">
        <f t="shared" si="0"/>
        <v>2000000</v>
      </c>
      <c r="D23" s="26">
        <f t="shared" si="0"/>
        <v>1937500</v>
      </c>
      <c r="E23" s="26">
        <f t="shared" si="0"/>
        <v>687500</v>
      </c>
      <c r="F23" s="26">
        <f t="shared" si="0"/>
        <v>112500</v>
      </c>
      <c r="G23" s="69">
        <f>SUM(C23:F23)</f>
        <v>4737500</v>
      </c>
      <c r="H23" s="33"/>
      <c r="I23" s="26">
        <f>I11+I15+I19</f>
        <v>225000</v>
      </c>
    </row>
    <row r="24" spans="1:9" ht="13.5" customHeight="1">
      <c r="A24" s="29"/>
      <c r="B24" s="30"/>
      <c r="C24" s="30"/>
      <c r="D24" s="30"/>
      <c r="E24" s="30"/>
      <c r="F24" s="30"/>
      <c r="G24" s="30"/>
      <c r="H24" s="34"/>
      <c r="I24" s="28"/>
    </row>
    <row r="25" spans="1:11" ht="13.5" customHeight="1">
      <c r="A25" s="88" t="s">
        <v>99</v>
      </c>
      <c r="B25" s="88"/>
      <c r="C25" s="88"/>
      <c r="D25" s="88"/>
      <c r="E25" s="9"/>
      <c r="F25" s="9"/>
      <c r="G25" s="9"/>
      <c r="H25" s="5"/>
      <c r="I25" s="28"/>
      <c r="K25" s="38" t="s">
        <v>66</v>
      </c>
    </row>
    <row r="26" spans="1:11" ht="13.5" customHeight="1">
      <c r="A26" s="2" t="s">
        <v>117</v>
      </c>
      <c r="B26" s="9"/>
      <c r="C26" s="25">
        <f>$M$22*2*Subscriptions!C26</f>
        <v>400</v>
      </c>
      <c r="D26" s="25">
        <f>$M$22*2*Subscriptions!D26</f>
        <v>600</v>
      </c>
      <c r="E26" s="25">
        <f>$M$22*2*Subscriptions!E26</f>
        <v>300</v>
      </c>
      <c r="F26" s="25">
        <f>$M$22*2*Subscriptions!F26</f>
        <v>100</v>
      </c>
      <c r="G26" s="26">
        <f>SUM(C26:F26)</f>
        <v>1400</v>
      </c>
      <c r="H26" s="5"/>
      <c r="I26" s="64">
        <f>I22+G26</f>
        <v>81400</v>
      </c>
      <c r="K26" s="38"/>
    </row>
    <row r="27" spans="1:11" ht="13.5" customHeight="1">
      <c r="A27" s="2" t="s">
        <v>118</v>
      </c>
      <c r="B27" s="9"/>
      <c r="C27" s="25">
        <f>$M$22*2*Subscriptions!C27</f>
        <v>50000</v>
      </c>
      <c r="D27" s="25">
        <f>$M$22*2*Subscriptions!D27</f>
        <v>10000</v>
      </c>
      <c r="E27" s="25">
        <f>$M$22*2*Subscriptions!E27</f>
        <v>1000</v>
      </c>
      <c r="F27" s="25">
        <f>$M$22*2*Subscriptions!F27</f>
        <v>100</v>
      </c>
      <c r="G27" s="26">
        <f>SUM(C27:F27)</f>
        <v>61100</v>
      </c>
      <c r="H27" s="5"/>
      <c r="I27" s="64">
        <f>I23+G27</f>
        <v>286100</v>
      </c>
      <c r="K27" s="38" t="s">
        <v>65</v>
      </c>
    </row>
    <row r="28" ht="13.5" customHeight="1">
      <c r="K28" s="38" t="s">
        <v>17</v>
      </c>
    </row>
    <row r="30" ht="13.5" customHeight="1">
      <c r="A30" s="13" t="s">
        <v>23</v>
      </c>
    </row>
    <row r="32" spans="1:9" ht="13.5" customHeight="1">
      <c r="A32" s="6"/>
      <c r="B32" s="4" t="s">
        <v>114</v>
      </c>
      <c r="C32" s="4" t="s">
        <v>107</v>
      </c>
      <c r="D32" s="4" t="s">
        <v>109</v>
      </c>
      <c r="E32" s="4" t="s">
        <v>110</v>
      </c>
      <c r="F32" s="4" t="s">
        <v>30</v>
      </c>
      <c r="G32" s="4" t="s">
        <v>116</v>
      </c>
      <c r="H32" s="6"/>
      <c r="I32" s="10" t="s">
        <v>192</v>
      </c>
    </row>
    <row r="33" spans="1:9" ht="13.5" customHeight="1">
      <c r="A33" s="6"/>
      <c r="B33" s="6"/>
      <c r="C33" s="22"/>
      <c r="D33" s="22"/>
      <c r="E33" s="22"/>
      <c r="F33" s="22"/>
      <c r="G33" s="6"/>
      <c r="H33" s="6"/>
      <c r="I33" s="27" t="s">
        <v>100</v>
      </c>
    </row>
    <row r="34" spans="1:9" ht="13.5" customHeight="1">
      <c r="A34" s="2"/>
      <c r="B34" s="6"/>
      <c r="C34" s="22"/>
      <c r="D34" s="22"/>
      <c r="E34" s="22"/>
      <c r="F34" s="22"/>
      <c r="G34" s="6"/>
      <c r="H34" s="6"/>
      <c r="I34" s="27" t="s">
        <v>101</v>
      </c>
    </row>
    <row r="35" spans="1:9" ht="13.5" customHeight="1">
      <c r="A35" s="2"/>
      <c r="B35" s="9"/>
      <c r="C35" s="6"/>
      <c r="D35" s="6"/>
      <c r="E35" s="6"/>
      <c r="F35" s="6"/>
      <c r="G35" s="6"/>
      <c r="H35" s="6"/>
      <c r="I35" s="27" t="s">
        <v>102</v>
      </c>
    </row>
    <row r="36" spans="1:9" ht="13.5" customHeight="1">
      <c r="A36" s="18" t="s">
        <v>20</v>
      </c>
      <c r="B36" s="9"/>
      <c r="C36" s="12"/>
      <c r="D36" s="12"/>
      <c r="E36" s="12"/>
      <c r="F36" s="12"/>
      <c r="G36" s="6"/>
      <c r="H36" s="6"/>
      <c r="I36" s="12"/>
    </row>
    <row r="37" spans="1:9" ht="13.5" customHeight="1">
      <c r="A37" s="3" t="s">
        <v>107</v>
      </c>
      <c r="B37" s="12"/>
      <c r="C37" s="11"/>
      <c r="D37" s="11"/>
      <c r="E37" s="11"/>
      <c r="F37" s="11"/>
      <c r="G37" s="6"/>
      <c r="H37" s="8"/>
      <c r="I37" s="12"/>
    </row>
    <row r="38" spans="1:9" ht="13.5" customHeight="1">
      <c r="A38" s="2" t="s">
        <v>121</v>
      </c>
      <c r="B38" s="12"/>
      <c r="C38" s="26">
        <f>C10/Subscriptions!$B10</f>
        <v>4</v>
      </c>
      <c r="D38" s="26">
        <f>D10/Subscriptions!$B10</f>
        <v>15.000000000000004</v>
      </c>
      <c r="E38" s="26">
        <f>E10/Subscriptions!$B10</f>
        <v>75</v>
      </c>
      <c r="F38" s="26">
        <f>F10/Subscriptions!$B10</f>
        <v>50</v>
      </c>
      <c r="G38" s="69">
        <f>SUM(C38:F38)</f>
        <v>144</v>
      </c>
      <c r="H38" s="26"/>
      <c r="I38" s="64">
        <f>I10/Subscriptions!$B10</f>
        <v>100</v>
      </c>
    </row>
    <row r="39" spans="1:9" ht="13.5" customHeight="1">
      <c r="A39" s="2" t="s">
        <v>118</v>
      </c>
      <c r="B39" s="12"/>
      <c r="C39" s="26">
        <f>C11/Subscriptions!$B11</f>
        <v>500</v>
      </c>
      <c r="D39" s="26">
        <f>D11/Subscriptions!$B11</f>
        <v>250</v>
      </c>
      <c r="E39" s="26">
        <f>E11/Subscriptions!$B11</f>
        <v>250</v>
      </c>
      <c r="F39" s="26">
        <f>F11/Subscriptions!$B11</f>
        <v>50</v>
      </c>
      <c r="G39" s="69">
        <f>SUM(C39:F39)</f>
        <v>1050</v>
      </c>
      <c r="H39" s="26"/>
      <c r="I39" s="64">
        <f>I11/Subscriptions!$B11</f>
        <v>100</v>
      </c>
    </row>
    <row r="40" spans="1:9" ht="13.5" customHeight="1">
      <c r="A40" s="2"/>
      <c r="B40" s="12"/>
      <c r="C40" s="26"/>
      <c r="D40" s="26"/>
      <c r="E40" s="26"/>
      <c r="F40" s="26"/>
      <c r="G40" s="37"/>
      <c r="H40" s="26"/>
      <c r="I40" s="26"/>
    </row>
    <row r="41" spans="1:9" ht="13.5" customHeight="1">
      <c r="A41" s="3" t="s">
        <v>109</v>
      </c>
      <c r="B41" s="12"/>
      <c r="C41" s="26"/>
      <c r="D41" s="26"/>
      <c r="E41" s="26"/>
      <c r="F41" s="26"/>
      <c r="G41" s="37"/>
      <c r="H41" s="26"/>
      <c r="I41" s="26"/>
    </row>
    <row r="42" spans="1:9" ht="13.5" customHeight="1">
      <c r="A42" s="2" t="s">
        <v>19</v>
      </c>
      <c r="B42" s="6"/>
      <c r="C42" s="26">
        <f>C14/Subscriptions!$B14</f>
        <v>10</v>
      </c>
      <c r="D42" s="26">
        <f>D14/Subscriptions!$B14</f>
        <v>75</v>
      </c>
      <c r="E42" s="26">
        <f>E14/Subscriptions!$B14</f>
        <v>112.5</v>
      </c>
      <c r="F42" s="26">
        <f>F14/Subscriptions!$B14</f>
        <v>50</v>
      </c>
      <c r="G42" s="69">
        <f>SUM(C42:F42)</f>
        <v>247.5</v>
      </c>
      <c r="H42" s="26"/>
      <c r="I42" s="64">
        <f>I14/Subscriptions!$B14</f>
        <v>100</v>
      </c>
    </row>
    <row r="43" spans="1:9" ht="13.5" customHeight="1">
      <c r="A43" s="2" t="s">
        <v>108</v>
      </c>
      <c r="B43" s="6"/>
      <c r="C43" s="26">
        <f>C15/Subscriptions!$B15</f>
        <v>1250</v>
      </c>
      <c r="D43" s="26">
        <f>D15/Subscriptions!$B15</f>
        <v>1250</v>
      </c>
      <c r="E43" s="26">
        <f>E15/Subscriptions!$B15</f>
        <v>375</v>
      </c>
      <c r="F43" s="26">
        <f>F15/Subscriptions!$B15</f>
        <v>50</v>
      </c>
      <c r="G43" s="69">
        <f>SUM(C43:F43)</f>
        <v>2925</v>
      </c>
      <c r="H43" s="26"/>
      <c r="I43" s="64">
        <f>I15/Subscriptions!$B15</f>
        <v>100</v>
      </c>
    </row>
    <row r="44" spans="1:9" ht="13.5" customHeight="1">
      <c r="A44" s="2"/>
      <c r="B44" s="12"/>
      <c r="C44" s="26"/>
      <c r="D44" s="26"/>
      <c r="E44" s="26"/>
      <c r="F44" s="26"/>
      <c r="G44" s="37"/>
      <c r="H44" s="26"/>
      <c r="I44" s="26"/>
    </row>
    <row r="45" spans="1:9" ht="13.5" customHeight="1">
      <c r="A45" s="3" t="s">
        <v>110</v>
      </c>
      <c r="B45" s="12"/>
      <c r="C45" s="26"/>
      <c r="D45" s="26"/>
      <c r="E45" s="26"/>
      <c r="F45" s="26"/>
      <c r="G45" s="37"/>
      <c r="H45" s="26"/>
      <c r="I45" s="26"/>
    </row>
    <row r="46" spans="1:9" ht="13.5" customHeight="1">
      <c r="A46" s="2" t="s">
        <v>19</v>
      </c>
      <c r="B46" s="6"/>
      <c r="C46" s="26">
        <f>C18/Subscriptions!$B18</f>
        <v>20</v>
      </c>
      <c r="D46" s="26">
        <f>D18/Subscriptions!$B18</f>
        <v>225</v>
      </c>
      <c r="E46" s="26">
        <f>E18/Subscriptions!$B18</f>
        <v>150</v>
      </c>
      <c r="F46" s="26">
        <f>F18/Subscriptions!$B18</f>
        <v>50</v>
      </c>
      <c r="G46" s="69">
        <f>SUM(C46:F46)</f>
        <v>445</v>
      </c>
      <c r="H46" s="26"/>
      <c r="I46" s="64">
        <f>I18/Subscriptions!$B18</f>
        <v>100</v>
      </c>
    </row>
    <row r="47" spans="1:9" ht="13.5" customHeight="1">
      <c r="A47" s="2" t="s">
        <v>108</v>
      </c>
      <c r="B47" s="6"/>
      <c r="C47" s="26">
        <f>C19/Subscriptions!$B19</f>
        <v>2500</v>
      </c>
      <c r="D47" s="26">
        <f>D19/Subscriptions!$B19</f>
        <v>3750</v>
      </c>
      <c r="E47" s="26">
        <f>E19/Subscriptions!$B19</f>
        <v>500</v>
      </c>
      <c r="F47" s="26">
        <f>F19/Subscriptions!$B19</f>
        <v>50</v>
      </c>
      <c r="G47" s="69">
        <f>SUM(C47:F47)</f>
        <v>6800</v>
      </c>
      <c r="H47" s="26"/>
      <c r="I47" s="64">
        <f>I19/Subscriptions!$B19</f>
        <v>100</v>
      </c>
    </row>
    <row r="48" spans="1:9" ht="13.5" customHeight="1">
      <c r="A48" s="2"/>
      <c r="B48" s="12"/>
      <c r="C48" s="26"/>
      <c r="D48" s="26"/>
      <c r="E48" s="26"/>
      <c r="F48" s="26"/>
      <c r="G48" s="26"/>
      <c r="H48" s="26"/>
      <c r="I48" s="26"/>
    </row>
    <row r="49" spans="1:9" ht="13.5" customHeight="1">
      <c r="A49" s="3" t="s">
        <v>120</v>
      </c>
      <c r="B49" s="12"/>
      <c r="C49" s="26"/>
      <c r="D49" s="26"/>
      <c r="E49" s="26"/>
      <c r="F49" s="26"/>
      <c r="G49" s="26"/>
      <c r="H49" s="26"/>
      <c r="I49" s="26"/>
    </row>
    <row r="50" spans="1:9" ht="13.5" customHeight="1">
      <c r="A50" s="2" t="s">
        <v>19</v>
      </c>
      <c r="B50" s="6"/>
      <c r="C50" s="26"/>
      <c r="D50" s="26"/>
      <c r="E50" s="26"/>
      <c r="F50" s="26"/>
      <c r="G50" s="26"/>
      <c r="H50" s="26"/>
      <c r="I50" s="26"/>
    </row>
    <row r="51" spans="1:9" ht="13.5" customHeight="1">
      <c r="A51" s="2" t="s">
        <v>108</v>
      </c>
      <c r="B51" s="6"/>
      <c r="C51" s="26"/>
      <c r="D51" s="26"/>
      <c r="E51" s="26"/>
      <c r="F51" s="26"/>
      <c r="G51" s="26"/>
      <c r="H51" s="26"/>
      <c r="I51" s="26"/>
    </row>
    <row r="52" spans="1:9" ht="13.5" customHeight="1">
      <c r="A52" s="2"/>
      <c r="B52" s="12"/>
      <c r="C52" s="26"/>
      <c r="D52" s="26"/>
      <c r="E52" s="26"/>
      <c r="F52" s="26"/>
      <c r="G52" s="26"/>
      <c r="H52" s="26"/>
      <c r="I52" s="26"/>
    </row>
    <row r="53" spans="1:9" ht="13.5" customHeight="1">
      <c r="A53" s="3" t="s">
        <v>119</v>
      </c>
      <c r="B53" s="12"/>
      <c r="C53" s="26"/>
      <c r="D53" s="26"/>
      <c r="E53" s="26"/>
      <c r="F53" s="26"/>
      <c r="G53" s="26"/>
      <c r="H53" s="26"/>
      <c r="I53" s="26"/>
    </row>
    <row r="54" spans="1:9" ht="13.5" customHeight="1">
      <c r="A54" s="2" t="s">
        <v>117</v>
      </c>
      <c r="B54" s="6"/>
      <c r="C54" s="26"/>
      <c r="D54" s="26"/>
      <c r="E54" s="26"/>
      <c r="F54" s="26"/>
      <c r="G54" s="26"/>
      <c r="H54" s="26"/>
      <c r="I54" s="26"/>
    </row>
    <row r="55" spans="1:9" ht="13.5" customHeight="1">
      <c r="A55" s="2" t="s">
        <v>118</v>
      </c>
      <c r="B55" s="6"/>
      <c r="C55" s="26"/>
      <c r="D55" s="26"/>
      <c r="E55" s="26"/>
      <c r="F55" s="26"/>
      <c r="G55" s="26"/>
      <c r="H55" s="26"/>
      <c r="I55" s="26"/>
    </row>
    <row r="58" ht="13.5" customHeight="1">
      <c r="A58" s="13" t="s">
        <v>24</v>
      </c>
    </row>
    <row r="60" spans="1:9" ht="13.5" customHeight="1">
      <c r="A60" s="6"/>
      <c r="B60" s="4" t="s">
        <v>114</v>
      </c>
      <c r="C60" s="4" t="s">
        <v>107</v>
      </c>
      <c r="D60" s="4" t="s">
        <v>109</v>
      </c>
      <c r="E60" s="4" t="s">
        <v>110</v>
      </c>
      <c r="F60" s="4" t="s">
        <v>30</v>
      </c>
      <c r="G60" s="4" t="s">
        <v>116</v>
      </c>
      <c r="H60" s="6"/>
      <c r="I60" s="10" t="s">
        <v>192</v>
      </c>
    </row>
    <row r="61" spans="1:9" ht="13.5" customHeight="1">
      <c r="A61" s="6"/>
      <c r="B61" s="6"/>
      <c r="C61" s="22"/>
      <c r="D61" s="22"/>
      <c r="E61" s="22"/>
      <c r="F61" s="22"/>
      <c r="G61" s="6"/>
      <c r="H61" s="6"/>
      <c r="I61" s="27" t="s">
        <v>100</v>
      </c>
    </row>
    <row r="62" spans="1:9" ht="13.5" customHeight="1">
      <c r="A62" s="2"/>
      <c r="B62" s="6"/>
      <c r="C62" s="22"/>
      <c r="D62" s="22"/>
      <c r="E62" s="22"/>
      <c r="F62" s="22"/>
      <c r="G62" s="6"/>
      <c r="H62" s="6"/>
      <c r="I62" s="27" t="s">
        <v>101</v>
      </c>
    </row>
    <row r="63" spans="1:9" ht="13.5" customHeight="1">
      <c r="A63" s="2"/>
      <c r="B63" s="9"/>
      <c r="C63" s="6"/>
      <c r="D63" s="6"/>
      <c r="E63" s="6"/>
      <c r="F63" s="6"/>
      <c r="G63" s="6"/>
      <c r="H63" s="6"/>
      <c r="I63" s="27" t="s">
        <v>102</v>
      </c>
    </row>
    <row r="64" spans="1:9" ht="13.5" customHeight="1">
      <c r="A64" s="18" t="s">
        <v>20</v>
      </c>
      <c r="B64" s="9"/>
      <c r="C64" s="12"/>
      <c r="D64" s="12"/>
      <c r="E64" s="12"/>
      <c r="F64" s="12"/>
      <c r="G64" s="6"/>
      <c r="H64" s="6"/>
      <c r="I64" s="12"/>
    </row>
    <row r="65" spans="1:9" ht="13.5" customHeight="1">
      <c r="A65" s="3" t="s">
        <v>107</v>
      </c>
      <c r="B65" s="12"/>
      <c r="C65" s="11"/>
      <c r="D65" s="11"/>
      <c r="E65" s="11"/>
      <c r="F65" s="11"/>
      <c r="G65" s="6"/>
      <c r="H65" s="8"/>
      <c r="I65" s="12"/>
    </row>
    <row r="66" spans="1:9" ht="13.5" customHeight="1">
      <c r="A66" s="2" t="s">
        <v>121</v>
      </c>
      <c r="B66" s="12"/>
      <c r="C66" s="26">
        <f>C10/Subscriptions!C$5</f>
        <v>500</v>
      </c>
      <c r="D66" s="26">
        <f>D10/Subscriptions!D$5</f>
        <v>1250.0000000000002</v>
      </c>
      <c r="E66" s="26">
        <f>E10/Subscriptions!E$5</f>
        <v>12500</v>
      </c>
      <c r="F66" s="26">
        <f>F10/Subscriptions!F$5</f>
        <v>25000</v>
      </c>
      <c r="G66" s="26"/>
      <c r="H66" s="26"/>
      <c r="I66" s="26"/>
    </row>
    <row r="67" spans="1:9" ht="13.5" customHeight="1">
      <c r="A67" s="2" t="s">
        <v>118</v>
      </c>
      <c r="B67" s="12"/>
      <c r="C67" s="26">
        <f>C11/Subscriptions!C$6</f>
        <v>1500</v>
      </c>
      <c r="D67" s="26">
        <f>D11/Subscriptions!D$6</f>
        <v>3750</v>
      </c>
      <c r="E67" s="26">
        <f>E11/Subscriptions!E$6</f>
        <v>37500</v>
      </c>
      <c r="F67" s="26">
        <f>F11/Subscriptions!F$6</f>
        <v>75000</v>
      </c>
      <c r="G67" s="26"/>
      <c r="H67" s="26"/>
      <c r="I67" s="26"/>
    </row>
    <row r="68" spans="1:9" ht="13.5" customHeight="1">
      <c r="A68" s="2"/>
      <c r="B68" s="12"/>
      <c r="C68" s="26"/>
      <c r="D68" s="26"/>
      <c r="E68" s="26"/>
      <c r="F68" s="26"/>
      <c r="G68" s="26"/>
      <c r="H68" s="26"/>
      <c r="I68" s="26"/>
    </row>
    <row r="69" spans="1:9" ht="13.5" customHeight="1">
      <c r="A69" s="3" t="s">
        <v>109</v>
      </c>
      <c r="B69" s="12"/>
      <c r="C69" s="26"/>
      <c r="D69" s="26"/>
      <c r="E69" s="26"/>
      <c r="F69" s="26"/>
      <c r="G69" s="26"/>
      <c r="H69" s="26"/>
      <c r="I69" s="26"/>
    </row>
    <row r="70" spans="1:9" ht="13.5" customHeight="1">
      <c r="A70" s="2" t="s">
        <v>19</v>
      </c>
      <c r="B70" s="6"/>
      <c r="C70" s="26">
        <f>C14/Subscriptions!C$5</f>
        <v>500</v>
      </c>
      <c r="D70" s="26">
        <f>D14/Subscriptions!D$5</f>
        <v>2500</v>
      </c>
      <c r="E70" s="26">
        <f>E14/Subscriptions!E$5</f>
        <v>7500</v>
      </c>
      <c r="F70" s="26">
        <f>F14/Subscriptions!F$5</f>
        <v>10000</v>
      </c>
      <c r="G70" s="26"/>
      <c r="H70" s="26"/>
      <c r="I70" s="26"/>
    </row>
    <row r="71" spans="1:9" ht="13.5" customHeight="1">
      <c r="A71" s="2" t="s">
        <v>108</v>
      </c>
      <c r="B71" s="6"/>
      <c r="C71" s="26">
        <f>C15/Subscriptions!C$6</f>
        <v>1250</v>
      </c>
      <c r="D71" s="26">
        <f>D15/Subscriptions!D$6</f>
        <v>6250</v>
      </c>
      <c r="E71" s="26">
        <f>E15/Subscriptions!E$6</f>
        <v>18750</v>
      </c>
      <c r="F71" s="26">
        <f>F15/Subscriptions!F$6</f>
        <v>25000</v>
      </c>
      <c r="G71" s="26"/>
      <c r="H71" s="26"/>
      <c r="I71" s="26"/>
    </row>
    <row r="72" spans="1:9" ht="13.5" customHeight="1">
      <c r="A72" s="2"/>
      <c r="B72" s="12"/>
      <c r="C72" s="26"/>
      <c r="D72" s="26"/>
      <c r="E72" s="26"/>
      <c r="F72" s="26"/>
      <c r="G72" s="26"/>
      <c r="H72" s="26"/>
      <c r="I72" s="26"/>
    </row>
    <row r="73" spans="1:9" ht="13.5" customHeight="1">
      <c r="A73" s="3" t="s">
        <v>110</v>
      </c>
      <c r="B73" s="12"/>
      <c r="C73" s="26"/>
      <c r="D73" s="26"/>
      <c r="E73" s="26"/>
      <c r="F73" s="26"/>
      <c r="G73" s="26"/>
      <c r="H73" s="26"/>
      <c r="I73" s="26"/>
    </row>
    <row r="74" spans="1:9" ht="13.5" customHeight="1">
      <c r="A74" s="2" t="s">
        <v>19</v>
      </c>
      <c r="B74" s="6"/>
      <c r="C74" s="26">
        <f>C18/Subscriptions!C$5</f>
        <v>500</v>
      </c>
      <c r="D74" s="26">
        <f>D18/Subscriptions!D$5</f>
        <v>3750</v>
      </c>
      <c r="E74" s="26">
        <f>E18/Subscriptions!E$5</f>
        <v>5000</v>
      </c>
      <c r="F74" s="26">
        <f>F18/Subscriptions!F$5</f>
        <v>5000</v>
      </c>
      <c r="G74" s="26"/>
      <c r="H74" s="26"/>
      <c r="I74" s="26"/>
    </row>
    <row r="75" spans="1:9" ht="13.5" customHeight="1">
      <c r="A75" s="2" t="s">
        <v>108</v>
      </c>
      <c r="B75" s="6"/>
      <c r="C75" s="26">
        <f>C19/Subscriptions!C$6</f>
        <v>1250</v>
      </c>
      <c r="D75" s="26">
        <f>D19/Subscriptions!D$6</f>
        <v>9375</v>
      </c>
      <c r="E75" s="26">
        <f>E19/Subscriptions!E$6</f>
        <v>12500</v>
      </c>
      <c r="F75" s="26">
        <f>F19/Subscriptions!F$6</f>
        <v>12500</v>
      </c>
      <c r="G75" s="26"/>
      <c r="H75" s="26"/>
      <c r="I75" s="26"/>
    </row>
    <row r="76" spans="1:9" ht="13.5" customHeight="1">
      <c r="A76" s="2"/>
      <c r="B76" s="12"/>
      <c r="C76" s="26"/>
      <c r="D76" s="26"/>
      <c r="E76" s="26"/>
      <c r="F76" s="26"/>
      <c r="G76" s="26"/>
      <c r="H76" s="26"/>
      <c r="I76" s="26"/>
    </row>
    <row r="77" spans="1:9" ht="13.5" customHeight="1">
      <c r="A77" s="3" t="s">
        <v>120</v>
      </c>
      <c r="B77" s="12"/>
      <c r="C77" s="26"/>
      <c r="D77" s="26"/>
      <c r="E77" s="26"/>
      <c r="F77" s="26"/>
      <c r="G77" s="26"/>
      <c r="H77" s="26"/>
      <c r="I77" s="26"/>
    </row>
    <row r="78" spans="1:9" ht="13.5" customHeight="1">
      <c r="A78" s="2" t="s">
        <v>19</v>
      </c>
      <c r="B78" s="6"/>
      <c r="C78" s="69">
        <f>C66+C70+C74</f>
        <v>1500</v>
      </c>
      <c r="D78" s="69">
        <f aca="true" t="shared" si="1" ref="D78:F79">D66+D70+D74</f>
        <v>7500</v>
      </c>
      <c r="E78" s="69">
        <f t="shared" si="1"/>
        <v>25000</v>
      </c>
      <c r="F78" s="69">
        <f t="shared" si="1"/>
        <v>40000</v>
      </c>
      <c r="G78" s="26"/>
      <c r="H78" s="26"/>
      <c r="I78" s="26"/>
    </row>
    <row r="79" spans="1:9" ht="13.5" customHeight="1">
      <c r="A79" s="2" t="s">
        <v>108</v>
      </c>
      <c r="B79" s="6"/>
      <c r="C79" s="69">
        <f>C67+C71+C75</f>
        <v>4000</v>
      </c>
      <c r="D79" s="69">
        <f t="shared" si="1"/>
        <v>19375</v>
      </c>
      <c r="E79" s="69">
        <f t="shared" si="1"/>
        <v>68750</v>
      </c>
      <c r="F79" s="69">
        <f t="shared" si="1"/>
        <v>112500</v>
      </c>
      <c r="G79" s="26"/>
      <c r="H79" s="26"/>
      <c r="I79" s="26"/>
    </row>
    <row r="80" spans="1:9" ht="13.5" customHeight="1">
      <c r="A80" s="2"/>
      <c r="B80" s="12"/>
      <c r="C80" s="26"/>
      <c r="D80" s="26"/>
      <c r="E80" s="26"/>
      <c r="F80" s="26"/>
      <c r="G80" s="26"/>
      <c r="H80" s="26"/>
      <c r="I80" s="26"/>
    </row>
    <row r="81" spans="1:9" ht="13.5" customHeight="1">
      <c r="A81" s="3" t="s">
        <v>119</v>
      </c>
      <c r="B81" s="12"/>
      <c r="C81" s="26"/>
      <c r="D81" s="26"/>
      <c r="E81" s="26"/>
      <c r="F81" s="26"/>
      <c r="G81" s="26"/>
      <c r="H81" s="26"/>
      <c r="I81" s="26"/>
    </row>
    <row r="82" spans="1:9" ht="13.5" customHeight="1">
      <c r="A82" s="2" t="s">
        <v>117</v>
      </c>
      <c r="B82" s="6"/>
      <c r="C82" s="64">
        <f>C26/Subscriptions!C$5</f>
        <v>100</v>
      </c>
      <c r="D82" s="64">
        <f>D26/Subscriptions!D$5</f>
        <v>100</v>
      </c>
      <c r="E82" s="64">
        <f>E26/Subscriptions!E$5</f>
        <v>100</v>
      </c>
      <c r="F82" s="64">
        <f>F26/Subscriptions!F$5</f>
        <v>100</v>
      </c>
      <c r="G82" s="26"/>
      <c r="H82" s="26"/>
      <c r="I82" s="26"/>
    </row>
    <row r="83" spans="1:9" ht="13.5" customHeight="1">
      <c r="A83" s="2" t="s">
        <v>118</v>
      </c>
      <c r="B83" s="6"/>
      <c r="C83" s="64">
        <f>C27/Subscriptions!C$6</f>
        <v>100</v>
      </c>
      <c r="D83" s="64">
        <f>D27/Subscriptions!D$6</f>
        <v>100</v>
      </c>
      <c r="E83" s="64">
        <f>E27/Subscriptions!E$6</f>
        <v>100</v>
      </c>
      <c r="F83" s="64">
        <f>F27/Subscriptions!F$6</f>
        <v>100</v>
      </c>
      <c r="G83" s="26"/>
      <c r="H83" s="26"/>
      <c r="I83" s="26"/>
    </row>
  </sheetData>
  <sheetProtection/>
  <mergeCells count="3">
    <mergeCell ref="A1:I1"/>
    <mergeCell ref="A2:I2"/>
    <mergeCell ref="A25:D25"/>
  </mergeCells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125" zoomScaleNormal="125" zoomScalePageLayoutView="0" workbookViewId="0" topLeftCell="A1">
      <selection activeCell="K7" sqref="K7"/>
    </sheetView>
  </sheetViews>
  <sheetFormatPr defaultColWidth="12.00390625" defaultRowHeight="13.5" customHeight="1"/>
  <cols>
    <col min="1" max="9" width="12.00390625" style="0" customWidth="1"/>
    <col min="10" max="10" width="2.28125" style="52" customWidth="1"/>
  </cols>
  <sheetData>
    <row r="1" spans="1:10" ht="13.5" customHeight="1">
      <c r="A1" s="86" t="s">
        <v>112</v>
      </c>
      <c r="B1" s="86"/>
      <c r="C1" s="86"/>
      <c r="D1" s="86"/>
      <c r="E1" s="9"/>
      <c r="F1" s="9"/>
      <c r="G1" s="9"/>
      <c r="H1" s="9"/>
      <c r="I1" s="9"/>
      <c r="J1" s="76"/>
    </row>
    <row r="2" spans="1:10" ht="13.5" customHeight="1">
      <c r="A2" s="13" t="s">
        <v>191</v>
      </c>
      <c r="B2" s="5"/>
      <c r="C2" s="5"/>
      <c r="D2" s="5"/>
      <c r="E2" s="5"/>
      <c r="F2" s="5"/>
      <c r="G2" s="5"/>
      <c r="H2" s="5"/>
      <c r="I2" s="9"/>
      <c r="J2" s="77"/>
    </row>
    <row r="3" spans="1:11" ht="13.5" customHeight="1">
      <c r="A3" s="5"/>
      <c r="B3" s="5"/>
      <c r="C3" s="5"/>
      <c r="D3" s="5"/>
      <c r="E3" s="5"/>
      <c r="F3" s="5"/>
      <c r="G3" s="5"/>
      <c r="H3" s="5"/>
      <c r="I3" s="9"/>
      <c r="J3" s="77"/>
      <c r="K3" t="s">
        <v>161</v>
      </c>
    </row>
    <row r="4" spans="1:11" ht="13.5" customHeight="1">
      <c r="A4" s="6"/>
      <c r="B4" s="4" t="s">
        <v>114</v>
      </c>
      <c r="C4" s="4" t="s">
        <v>107</v>
      </c>
      <c r="D4" s="4" t="s">
        <v>109</v>
      </c>
      <c r="E4" s="4" t="s">
        <v>110</v>
      </c>
      <c r="F4" s="4" t="s">
        <v>30</v>
      </c>
      <c r="G4" s="4" t="s">
        <v>116</v>
      </c>
      <c r="H4" s="6"/>
      <c r="I4" s="10" t="s">
        <v>192</v>
      </c>
      <c r="J4" s="77"/>
      <c r="K4" t="s">
        <v>162</v>
      </c>
    </row>
    <row r="5" spans="1:11" ht="13.5" customHeight="1">
      <c r="A5" s="6"/>
      <c r="B5" s="6"/>
      <c r="C5" s="22"/>
      <c r="D5" s="22"/>
      <c r="E5" s="22"/>
      <c r="F5" s="22"/>
      <c r="G5" s="6"/>
      <c r="H5" s="6"/>
      <c r="I5" s="27" t="s">
        <v>100</v>
      </c>
      <c r="J5" s="77"/>
      <c r="K5" t="s">
        <v>163</v>
      </c>
    </row>
    <row r="6" spans="1:11" ht="13.5" customHeight="1">
      <c r="A6" s="2"/>
      <c r="B6" s="6"/>
      <c r="C6" s="22"/>
      <c r="D6" s="22"/>
      <c r="E6" s="22"/>
      <c r="F6" s="22"/>
      <c r="G6" s="6"/>
      <c r="H6" s="6"/>
      <c r="I6" s="27" t="s">
        <v>101</v>
      </c>
      <c r="J6" s="77"/>
      <c r="K6" t="s">
        <v>164</v>
      </c>
    </row>
    <row r="7" spans="1:11" ht="13.5" customHeight="1">
      <c r="A7" s="2"/>
      <c r="B7" s="9"/>
      <c r="C7" s="6"/>
      <c r="D7" s="6"/>
      <c r="E7" s="6"/>
      <c r="F7" s="6"/>
      <c r="G7" s="6"/>
      <c r="H7" s="6"/>
      <c r="I7" s="27" t="s">
        <v>102</v>
      </c>
      <c r="J7" s="77"/>
      <c r="K7" t="s">
        <v>165</v>
      </c>
    </row>
    <row r="8" spans="1:10" ht="13.5" customHeight="1">
      <c r="A8" s="18" t="s">
        <v>115</v>
      </c>
      <c r="B8" s="9"/>
      <c r="C8" s="12"/>
      <c r="D8" s="12"/>
      <c r="E8" s="12"/>
      <c r="F8" s="12"/>
      <c r="G8" s="6"/>
      <c r="H8" s="6"/>
      <c r="I8" s="12"/>
      <c r="J8" s="77"/>
    </row>
    <row r="9" spans="1:10" ht="13.5" customHeight="1">
      <c r="A9" s="3" t="s">
        <v>107</v>
      </c>
      <c r="B9" s="12"/>
      <c r="C9" s="11"/>
      <c r="D9" s="11"/>
      <c r="E9" s="11"/>
      <c r="F9" s="11"/>
      <c r="G9" s="6"/>
      <c r="H9" s="8"/>
      <c r="I9" s="12"/>
      <c r="J9" s="77"/>
    </row>
    <row r="10" spans="1:10" ht="13.5" customHeight="1">
      <c r="A10" s="2" t="s">
        <v>121</v>
      </c>
      <c r="B10" s="15">
        <v>100</v>
      </c>
      <c r="C10" s="8">
        <f>$B10</f>
        <v>100</v>
      </c>
      <c r="D10" s="8">
        <f aca="true" t="shared" si="0" ref="D10:F11">$B10</f>
        <v>100</v>
      </c>
      <c r="E10" s="8">
        <f t="shared" si="0"/>
        <v>100</v>
      </c>
      <c r="F10" s="8">
        <f t="shared" si="0"/>
        <v>100</v>
      </c>
      <c r="G10" s="6"/>
      <c r="H10" s="8"/>
      <c r="I10" s="20">
        <f>B26</f>
        <v>365</v>
      </c>
      <c r="J10" s="77"/>
    </row>
    <row r="11" spans="1:10" ht="13.5" customHeight="1">
      <c r="A11" s="2" t="s">
        <v>118</v>
      </c>
      <c r="B11" s="15">
        <v>100</v>
      </c>
      <c r="C11" s="8">
        <f>$B11</f>
        <v>100</v>
      </c>
      <c r="D11" s="8">
        <f t="shared" si="0"/>
        <v>100</v>
      </c>
      <c r="E11" s="8">
        <f t="shared" si="0"/>
        <v>100</v>
      </c>
      <c r="F11" s="8">
        <f t="shared" si="0"/>
        <v>100</v>
      </c>
      <c r="G11" s="6"/>
      <c r="H11" s="8"/>
      <c r="I11" s="20">
        <f>B27</f>
        <v>365</v>
      </c>
      <c r="J11" s="77"/>
    </row>
    <row r="12" spans="1:10" ht="13.5" customHeight="1">
      <c r="A12" s="2"/>
      <c r="B12" s="12"/>
      <c r="C12" s="6"/>
      <c r="D12" s="6"/>
      <c r="E12" s="6"/>
      <c r="F12" s="6"/>
      <c r="G12" s="8"/>
      <c r="H12" s="8"/>
      <c r="I12" s="12"/>
      <c r="J12" s="77"/>
    </row>
    <row r="13" spans="1:10" ht="13.5" customHeight="1">
      <c r="A13" s="3" t="s">
        <v>109</v>
      </c>
      <c r="B13" s="12"/>
      <c r="C13" s="11"/>
      <c r="D13" s="11"/>
      <c r="E13" s="11"/>
      <c r="F13" s="11"/>
      <c r="G13" s="8"/>
      <c r="H13" s="8"/>
      <c r="I13" s="12"/>
      <c r="J13" s="77"/>
    </row>
    <row r="14" spans="1:10" ht="13.5" customHeight="1">
      <c r="A14" s="2" t="s">
        <v>19</v>
      </c>
      <c r="B14" s="16">
        <v>250</v>
      </c>
      <c r="C14" s="8">
        <f>$B14</f>
        <v>250</v>
      </c>
      <c r="D14" s="8">
        <f aca="true" t="shared" si="1" ref="D14:F15">$B14</f>
        <v>250</v>
      </c>
      <c r="E14" s="8">
        <f t="shared" si="1"/>
        <v>250</v>
      </c>
      <c r="F14" s="8">
        <f t="shared" si="1"/>
        <v>250</v>
      </c>
      <c r="G14" s="6"/>
      <c r="H14" s="8"/>
      <c r="I14" s="20">
        <f>B26</f>
        <v>365</v>
      </c>
      <c r="J14" s="77"/>
    </row>
    <row r="15" spans="1:10" ht="13.5" customHeight="1">
      <c r="A15" s="2" t="s">
        <v>108</v>
      </c>
      <c r="B15" s="16">
        <v>250</v>
      </c>
      <c r="C15" s="8">
        <f>$B15</f>
        <v>250</v>
      </c>
      <c r="D15" s="8">
        <f t="shared" si="1"/>
        <v>250</v>
      </c>
      <c r="E15" s="8">
        <f t="shared" si="1"/>
        <v>250</v>
      </c>
      <c r="F15" s="8">
        <f t="shared" si="1"/>
        <v>250</v>
      </c>
      <c r="G15" s="6"/>
      <c r="H15" s="8"/>
      <c r="I15" s="20">
        <f>B27</f>
        <v>365</v>
      </c>
      <c r="J15" s="77"/>
    </row>
    <row r="16" spans="1:10" ht="13.5" customHeight="1">
      <c r="A16" s="2"/>
      <c r="B16" s="12"/>
      <c r="C16" s="6"/>
      <c r="D16" s="6"/>
      <c r="E16" s="6"/>
      <c r="F16" s="6"/>
      <c r="G16" s="8"/>
      <c r="H16" s="8"/>
      <c r="I16" s="12"/>
      <c r="J16" s="77"/>
    </row>
    <row r="17" spans="1:10" ht="13.5" customHeight="1">
      <c r="A17" s="3" t="s">
        <v>110</v>
      </c>
      <c r="B17" s="12"/>
      <c r="C17" s="11"/>
      <c r="D17" s="11"/>
      <c r="E17" s="11"/>
      <c r="F17" s="11"/>
      <c r="G17" s="8"/>
      <c r="H17" s="8"/>
      <c r="I17" s="12"/>
      <c r="J17" s="77"/>
    </row>
    <row r="18" spans="1:10" ht="13.5" customHeight="1">
      <c r="A18" s="2" t="s">
        <v>19</v>
      </c>
      <c r="B18" s="16">
        <v>365</v>
      </c>
      <c r="C18" s="8">
        <f>$B18</f>
        <v>365</v>
      </c>
      <c r="D18" s="8">
        <f aca="true" t="shared" si="2" ref="D18:F19">$B18</f>
        <v>365</v>
      </c>
      <c r="E18" s="8">
        <f t="shared" si="2"/>
        <v>365</v>
      </c>
      <c r="F18" s="8">
        <f t="shared" si="2"/>
        <v>365</v>
      </c>
      <c r="G18" s="6"/>
      <c r="H18" s="8"/>
      <c r="I18" s="20">
        <f>B26</f>
        <v>365</v>
      </c>
      <c r="J18" s="77"/>
    </row>
    <row r="19" spans="1:10" ht="13.5" customHeight="1">
      <c r="A19" s="2" t="s">
        <v>108</v>
      </c>
      <c r="B19" s="16">
        <v>365</v>
      </c>
      <c r="C19" s="8">
        <f>$B19</f>
        <v>365</v>
      </c>
      <c r="D19" s="8">
        <f t="shared" si="2"/>
        <v>365</v>
      </c>
      <c r="E19" s="8">
        <f t="shared" si="2"/>
        <v>365</v>
      </c>
      <c r="F19" s="8">
        <f t="shared" si="2"/>
        <v>365</v>
      </c>
      <c r="G19" s="6"/>
      <c r="H19" s="6"/>
      <c r="I19" s="20">
        <f>B27</f>
        <v>365</v>
      </c>
      <c r="J19" s="77"/>
    </row>
    <row r="20" spans="1:10" ht="13.5" customHeight="1">
      <c r="A20" s="2"/>
      <c r="B20" s="12"/>
      <c r="C20" s="12"/>
      <c r="D20" s="12"/>
      <c r="E20" s="12"/>
      <c r="F20" s="12"/>
      <c r="G20" s="6"/>
      <c r="H20" s="8"/>
      <c r="I20" s="12"/>
      <c r="J20" s="77"/>
    </row>
    <row r="21" spans="1:10" ht="13.5" customHeight="1">
      <c r="A21" s="3" t="s">
        <v>120</v>
      </c>
      <c r="B21" s="12"/>
      <c r="C21" s="8"/>
      <c r="D21" s="8"/>
      <c r="E21" s="8"/>
      <c r="F21" s="8"/>
      <c r="G21" s="8"/>
      <c r="H21" s="8"/>
      <c r="I21" s="12"/>
      <c r="J21" s="77"/>
    </row>
    <row r="22" spans="1:10" ht="13.5" customHeight="1">
      <c r="A22" s="2" t="s">
        <v>19</v>
      </c>
      <c r="B22" s="6"/>
      <c r="C22" s="8"/>
      <c r="D22" s="8"/>
      <c r="E22" s="8"/>
      <c r="F22" s="8"/>
      <c r="G22" s="6"/>
      <c r="H22" s="8"/>
      <c r="I22" s="8"/>
      <c r="J22" s="77"/>
    </row>
    <row r="23" spans="1:10" ht="13.5" customHeight="1">
      <c r="A23" s="2" t="s">
        <v>108</v>
      </c>
      <c r="B23" s="6"/>
      <c r="C23" s="8"/>
      <c r="D23" s="8"/>
      <c r="E23" s="8"/>
      <c r="F23" s="8"/>
      <c r="G23" s="6"/>
      <c r="H23" s="7"/>
      <c r="I23" s="8"/>
      <c r="J23" s="77"/>
    </row>
    <row r="24" spans="1:10" ht="13.5" customHeight="1">
      <c r="A24" s="2"/>
      <c r="B24" s="9"/>
      <c r="C24" s="12"/>
      <c r="D24" s="12"/>
      <c r="E24" s="12"/>
      <c r="F24" s="12"/>
      <c r="G24" s="12"/>
      <c r="H24" s="7"/>
      <c r="I24" s="12"/>
      <c r="J24" s="77"/>
    </row>
    <row r="25" spans="1:10" ht="13.5" customHeight="1">
      <c r="A25" s="88" t="s">
        <v>99</v>
      </c>
      <c r="B25" s="88"/>
      <c r="C25" s="88"/>
      <c r="D25" s="88"/>
      <c r="E25" s="12"/>
      <c r="F25" s="12"/>
      <c r="G25" s="12"/>
      <c r="H25" s="7"/>
      <c r="I25" s="12"/>
      <c r="J25" s="77"/>
    </row>
    <row r="26" spans="1:10" ht="13.5" customHeight="1">
      <c r="A26" s="2" t="s">
        <v>117</v>
      </c>
      <c r="B26" s="16">
        <v>365</v>
      </c>
      <c r="C26" s="8">
        <f>$B26</f>
        <v>365</v>
      </c>
      <c r="D26" s="8">
        <f aca="true" t="shared" si="3" ref="D26:F27">$B26</f>
        <v>365</v>
      </c>
      <c r="E26" s="8">
        <f t="shared" si="3"/>
        <v>365</v>
      </c>
      <c r="F26" s="8">
        <f t="shared" si="3"/>
        <v>365</v>
      </c>
      <c r="G26" s="8"/>
      <c r="H26" s="7"/>
      <c r="I26" s="20"/>
      <c r="J26" s="77"/>
    </row>
    <row r="27" spans="1:10" ht="13.5" customHeight="1">
      <c r="A27" s="2" t="s">
        <v>118</v>
      </c>
      <c r="B27" s="16">
        <v>365</v>
      </c>
      <c r="C27" s="8">
        <f>$B27</f>
        <v>365</v>
      </c>
      <c r="D27" s="8">
        <f t="shared" si="3"/>
        <v>365</v>
      </c>
      <c r="E27" s="8">
        <f t="shared" si="3"/>
        <v>365</v>
      </c>
      <c r="F27" s="8">
        <f t="shared" si="3"/>
        <v>365</v>
      </c>
      <c r="G27" s="8"/>
      <c r="H27" s="7"/>
      <c r="I27" s="20"/>
      <c r="J27" s="77"/>
    </row>
    <row r="28" spans="1:10" ht="13.5" customHeight="1">
      <c r="A28" s="5"/>
      <c r="B28" s="5"/>
      <c r="C28" s="5"/>
      <c r="D28" s="5"/>
      <c r="E28" s="5"/>
      <c r="F28" s="5"/>
      <c r="G28" s="5"/>
      <c r="H28" s="5"/>
      <c r="I28" s="9"/>
      <c r="J28" s="77"/>
    </row>
  </sheetData>
  <sheetProtection/>
  <mergeCells count="2">
    <mergeCell ref="A1:D1"/>
    <mergeCell ref="A25:D25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zoomScale="125" zoomScaleNormal="125" zoomScalePageLayoutView="0" workbookViewId="0" topLeftCell="A1">
      <selection activeCell="K29" sqref="K29:K32"/>
    </sheetView>
  </sheetViews>
  <sheetFormatPr defaultColWidth="12.00390625" defaultRowHeight="13.5" customHeight="1"/>
  <cols>
    <col min="1" max="9" width="12.00390625" style="0" customWidth="1"/>
    <col min="10" max="10" width="2.28125" style="52" customWidth="1"/>
    <col min="11" max="11" width="19.00390625" style="0" customWidth="1"/>
  </cols>
  <sheetData>
    <row r="1" spans="1:16" ht="13.5" customHeight="1">
      <c r="A1" s="86" t="s">
        <v>193</v>
      </c>
      <c r="B1" s="86"/>
      <c r="C1" s="86"/>
      <c r="D1" s="86"/>
      <c r="E1" s="9"/>
      <c r="F1" s="9"/>
      <c r="G1" s="9"/>
      <c r="H1" s="9"/>
      <c r="I1" s="9"/>
      <c r="P1" t="s">
        <v>35</v>
      </c>
    </row>
    <row r="2" spans="1:16" ht="13.5" customHeight="1">
      <c r="A2" s="13" t="s">
        <v>190</v>
      </c>
      <c r="B2" s="5"/>
      <c r="C2" s="5"/>
      <c r="D2" s="5"/>
      <c r="E2" s="5"/>
      <c r="F2" s="5"/>
      <c r="G2" s="5"/>
      <c r="H2" s="5"/>
      <c r="I2" s="9"/>
      <c r="P2" t="s">
        <v>36</v>
      </c>
    </row>
    <row r="3" spans="1:11" ht="13.5" customHeight="1">
      <c r="A3" s="5"/>
      <c r="B3" s="5"/>
      <c r="C3" s="5"/>
      <c r="D3" s="5"/>
      <c r="E3" s="5"/>
      <c r="F3" s="5"/>
      <c r="G3" s="5"/>
      <c r="H3" s="5"/>
      <c r="I3" s="9"/>
      <c r="K3" t="s">
        <v>194</v>
      </c>
    </row>
    <row r="4" spans="1:11" ht="13.5" customHeight="1">
      <c r="A4" s="6"/>
      <c r="B4" s="4" t="s">
        <v>114</v>
      </c>
      <c r="C4" s="4" t="s">
        <v>107</v>
      </c>
      <c r="D4" s="4" t="s">
        <v>109</v>
      </c>
      <c r="E4" s="4" t="s">
        <v>110</v>
      </c>
      <c r="F4" s="4" t="s">
        <v>30</v>
      </c>
      <c r="G4" s="4" t="s">
        <v>116</v>
      </c>
      <c r="H4" s="6"/>
      <c r="I4" s="10" t="s">
        <v>192</v>
      </c>
      <c r="K4" t="s">
        <v>195</v>
      </c>
    </row>
    <row r="5" spans="1:11" ht="13.5" customHeight="1">
      <c r="A5" s="6"/>
      <c r="B5" s="6"/>
      <c r="C5" s="22"/>
      <c r="D5" s="22"/>
      <c r="E5" s="22"/>
      <c r="F5" s="22"/>
      <c r="G5" s="6"/>
      <c r="H5" s="6"/>
      <c r="I5" s="27" t="s">
        <v>100</v>
      </c>
      <c r="K5" t="s">
        <v>196</v>
      </c>
    </row>
    <row r="6" spans="1:11" ht="13.5" customHeight="1">
      <c r="A6" s="2"/>
      <c r="B6" s="6"/>
      <c r="C6" s="22"/>
      <c r="D6" s="22"/>
      <c r="E6" s="22"/>
      <c r="F6" s="22"/>
      <c r="G6" s="6"/>
      <c r="H6" s="6"/>
      <c r="I6" s="27" t="s">
        <v>101</v>
      </c>
      <c r="K6" t="s">
        <v>197</v>
      </c>
    </row>
    <row r="7" spans="1:11" ht="13.5" customHeight="1">
      <c r="A7" s="2"/>
      <c r="B7" s="9"/>
      <c r="C7" s="6"/>
      <c r="D7" s="6"/>
      <c r="E7" s="6"/>
      <c r="F7" s="6"/>
      <c r="G7" s="6"/>
      <c r="H7" s="6"/>
      <c r="I7" s="27" t="s">
        <v>102</v>
      </c>
      <c r="K7" t="s">
        <v>198</v>
      </c>
    </row>
    <row r="8" spans="1:11" ht="13.5" customHeight="1">
      <c r="A8" s="18" t="s">
        <v>143</v>
      </c>
      <c r="B8" s="9"/>
      <c r="C8" s="12"/>
      <c r="D8" s="12"/>
      <c r="E8" s="12"/>
      <c r="F8" s="12"/>
      <c r="G8" s="6"/>
      <c r="H8" s="6"/>
      <c r="I8" s="12"/>
      <c r="K8" t="s">
        <v>122</v>
      </c>
    </row>
    <row r="9" spans="1:11" ht="13.5" customHeight="1">
      <c r="A9" s="3" t="s">
        <v>107</v>
      </c>
      <c r="B9" s="12"/>
      <c r="C9" s="11"/>
      <c r="D9" s="11"/>
      <c r="E9" s="11"/>
      <c r="F9" s="11"/>
      <c r="G9" s="6"/>
      <c r="H9" s="8"/>
      <c r="I9" s="12"/>
      <c r="K9" t="s">
        <v>123</v>
      </c>
    </row>
    <row r="10" spans="1:11" ht="13.5" customHeight="1">
      <c r="A10" s="2" t="s">
        <v>121</v>
      </c>
      <c r="B10" s="12"/>
      <c r="C10" s="23">
        <f>Subscriptions!C10*'Xfers per sub'!C10</f>
        <v>4000</v>
      </c>
      <c r="D10" s="23">
        <f>Subscriptions!D10*'Xfers per sub'!D10</f>
        <v>15000.000000000004</v>
      </c>
      <c r="E10" s="23">
        <f>Subscriptions!E10*'Xfers per sub'!E10</f>
        <v>75000</v>
      </c>
      <c r="F10" s="23">
        <f>Subscriptions!F10*'Xfers per sub'!F10</f>
        <v>50000</v>
      </c>
      <c r="G10" s="23">
        <f>SUM(C10:F10)</f>
        <v>144000</v>
      </c>
      <c r="H10" s="8"/>
      <c r="I10" s="23">
        <f>IF($L$23="1 file per day",Subscriptions!I10*'Xfers per sub'!I10,G10)</f>
        <v>182500</v>
      </c>
      <c r="K10" t="s">
        <v>124</v>
      </c>
    </row>
    <row r="11" spans="1:11" ht="13.5" customHeight="1">
      <c r="A11" s="2" t="s">
        <v>118</v>
      </c>
      <c r="B11" s="12"/>
      <c r="C11" s="23">
        <f>Subscriptions!C11*'Xfers per sub'!C11</f>
        <v>1500000</v>
      </c>
      <c r="D11" s="23">
        <f>Subscriptions!D11*'Xfers per sub'!D11</f>
        <v>750000</v>
      </c>
      <c r="E11" s="23">
        <f>Subscriptions!E11*'Xfers per sub'!E11</f>
        <v>750000</v>
      </c>
      <c r="F11" s="23">
        <f>Subscriptions!F11*'Xfers per sub'!F11</f>
        <v>150000</v>
      </c>
      <c r="G11" s="23">
        <f>SUM(C11:F11)</f>
        <v>3150000</v>
      </c>
      <c r="H11" s="8"/>
      <c r="I11" s="23">
        <f>IF($L$23="1 file per day",Subscriptions!I11*'Xfers per sub'!I11,G11)</f>
        <v>547500</v>
      </c>
      <c r="K11" t="s">
        <v>125</v>
      </c>
    </row>
    <row r="12" spans="1:11" ht="13.5" customHeight="1">
      <c r="A12" s="2"/>
      <c r="B12" s="12"/>
      <c r="C12" s="23"/>
      <c r="D12" s="23"/>
      <c r="E12" s="23"/>
      <c r="F12" s="23"/>
      <c r="G12" s="23"/>
      <c r="H12" s="8"/>
      <c r="I12" s="12"/>
      <c r="K12" t="s">
        <v>32</v>
      </c>
    </row>
    <row r="13" spans="1:9" ht="13.5" customHeight="1">
      <c r="A13" s="3" t="s">
        <v>109</v>
      </c>
      <c r="B13" s="12"/>
      <c r="C13" s="23"/>
      <c r="D13" s="23"/>
      <c r="E13" s="23"/>
      <c r="F13" s="23"/>
      <c r="G13" s="23"/>
      <c r="H13" s="8"/>
      <c r="I13" s="12"/>
    </row>
    <row r="14" spans="1:11" ht="13.5" customHeight="1">
      <c r="A14" s="2" t="s">
        <v>19</v>
      </c>
      <c r="B14" s="6"/>
      <c r="C14" s="23">
        <f>Subscriptions!C14*'Xfers per sub'!C14</f>
        <v>10000</v>
      </c>
      <c r="D14" s="23">
        <f>Subscriptions!D14*'Xfers per sub'!D14</f>
        <v>75000</v>
      </c>
      <c r="E14" s="23">
        <f>Subscriptions!E14*'Xfers per sub'!E14</f>
        <v>112500</v>
      </c>
      <c r="F14" s="23">
        <f>Subscriptions!F14*'Xfers per sub'!F14</f>
        <v>50000</v>
      </c>
      <c r="G14" s="23">
        <f>SUM(C14:F14)</f>
        <v>247500</v>
      </c>
      <c r="H14" s="8"/>
      <c r="I14" s="23">
        <f>IF($L$23="1 file per day",Subscriptions!I14*'Xfers per sub'!I14,G14)</f>
        <v>73000</v>
      </c>
      <c r="K14" t="s">
        <v>39</v>
      </c>
    </row>
    <row r="15" spans="1:11" ht="13.5" customHeight="1">
      <c r="A15" s="2" t="s">
        <v>108</v>
      </c>
      <c r="B15" s="6"/>
      <c r="C15" s="23">
        <f>Subscriptions!C15*'Xfers per sub'!C15</f>
        <v>3125000</v>
      </c>
      <c r="D15" s="23">
        <f>Subscriptions!D15*'Xfers per sub'!D15</f>
        <v>3125000</v>
      </c>
      <c r="E15" s="23">
        <f>Subscriptions!E15*'Xfers per sub'!E15</f>
        <v>937500</v>
      </c>
      <c r="F15" s="23">
        <f>Subscriptions!F15*'Xfers per sub'!F15</f>
        <v>125000</v>
      </c>
      <c r="G15" s="23">
        <f>SUM(C15:F15)</f>
        <v>7312500</v>
      </c>
      <c r="H15" s="8"/>
      <c r="I15" s="23">
        <f>IF($L$23="1 file per day",Subscriptions!I15*'Xfers per sub'!I15,G15)</f>
        <v>182500</v>
      </c>
      <c r="K15" t="s">
        <v>40</v>
      </c>
    </row>
    <row r="16" spans="1:11" ht="13.5" customHeight="1">
      <c r="A16" s="2"/>
      <c r="B16" s="12"/>
      <c r="C16" s="23"/>
      <c r="D16" s="23"/>
      <c r="E16" s="23"/>
      <c r="F16" s="23"/>
      <c r="G16" s="23"/>
      <c r="H16" s="8"/>
      <c r="I16" s="12"/>
      <c r="K16" t="s">
        <v>41</v>
      </c>
    </row>
    <row r="17" spans="1:11" ht="13.5" customHeight="1">
      <c r="A17" s="3" t="s">
        <v>110</v>
      </c>
      <c r="B17" s="12"/>
      <c r="C17" s="23"/>
      <c r="D17" s="23"/>
      <c r="E17" s="23"/>
      <c r="F17" s="23"/>
      <c r="G17" s="23"/>
      <c r="H17" s="8"/>
      <c r="I17" s="12"/>
      <c r="K17" t="s">
        <v>42</v>
      </c>
    </row>
    <row r="18" spans="1:11" ht="13.5" customHeight="1">
      <c r="A18" s="2" t="s">
        <v>19</v>
      </c>
      <c r="B18" s="6"/>
      <c r="C18" s="23">
        <f>Subscriptions!C18*'Xfers per sub'!C18</f>
        <v>14600</v>
      </c>
      <c r="D18" s="23">
        <f>Subscriptions!D18*'Xfers per sub'!D18</f>
        <v>164250</v>
      </c>
      <c r="E18" s="23">
        <f>Subscriptions!E18*'Xfers per sub'!E18</f>
        <v>109500</v>
      </c>
      <c r="F18" s="23">
        <f>Subscriptions!F18*'Xfers per sub'!F18</f>
        <v>36500</v>
      </c>
      <c r="G18" s="23">
        <f>SUM(C18:F18)</f>
        <v>324850</v>
      </c>
      <c r="H18" s="8"/>
      <c r="I18" s="23">
        <f>IF($L$23="1 file per day",Subscriptions!I18*'Xfers per sub'!I18,G18)</f>
        <v>36500</v>
      </c>
      <c r="K18" t="s">
        <v>43</v>
      </c>
    </row>
    <row r="19" spans="1:11" ht="13.5" customHeight="1">
      <c r="A19" s="2" t="s">
        <v>108</v>
      </c>
      <c r="B19" s="6"/>
      <c r="C19" s="23">
        <f>Subscriptions!C19*'Xfers per sub'!C19</f>
        <v>4562500</v>
      </c>
      <c r="D19" s="23">
        <f>Subscriptions!D19*'Xfers per sub'!D19</f>
        <v>6843750</v>
      </c>
      <c r="E19" s="23">
        <f>Subscriptions!E19*'Xfers per sub'!E19</f>
        <v>912500</v>
      </c>
      <c r="F19" s="23">
        <f>Subscriptions!F19*'Xfers per sub'!F19</f>
        <v>91250</v>
      </c>
      <c r="G19" s="23">
        <f>SUM(C19:F19)</f>
        <v>12410000</v>
      </c>
      <c r="H19" s="6"/>
      <c r="I19" s="23">
        <f>IF($L$23="1 file per day",Subscriptions!I19*'Xfers per sub'!I19,G19)</f>
        <v>91250</v>
      </c>
      <c r="K19" t="s">
        <v>44</v>
      </c>
    </row>
    <row r="20" spans="1:11" ht="13.5" customHeight="1">
      <c r="A20" s="2"/>
      <c r="B20" s="12"/>
      <c r="C20" s="24"/>
      <c r="D20" s="24"/>
      <c r="E20" s="24"/>
      <c r="F20" s="24"/>
      <c r="G20" s="23"/>
      <c r="H20" s="8"/>
      <c r="I20" s="12"/>
      <c r="K20" t="s">
        <v>92</v>
      </c>
    </row>
    <row r="21" spans="1:9" ht="13.5" customHeight="1">
      <c r="A21" s="3" t="s">
        <v>120</v>
      </c>
      <c r="B21" s="12"/>
      <c r="C21" s="23"/>
      <c r="D21" s="23"/>
      <c r="E21" s="23"/>
      <c r="F21" s="23"/>
      <c r="G21" s="23"/>
      <c r="H21" s="8"/>
      <c r="I21" s="12"/>
    </row>
    <row r="22" spans="1:9" ht="13.5" customHeight="1">
      <c r="A22" s="2" t="s">
        <v>19</v>
      </c>
      <c r="B22" s="6"/>
      <c r="C22" s="23">
        <f>C10+C14+C18</f>
        <v>28600</v>
      </c>
      <c r="D22" s="23">
        <f aca="true" t="shared" si="0" ref="D22:F23">D10+D14+D18</f>
        <v>254250</v>
      </c>
      <c r="E22" s="23">
        <f t="shared" si="0"/>
        <v>297000</v>
      </c>
      <c r="F22" s="23">
        <f t="shared" si="0"/>
        <v>136500</v>
      </c>
      <c r="G22" s="47">
        <f>SUM(C22:F22)</f>
        <v>716350</v>
      </c>
      <c r="H22" s="8"/>
      <c r="I22" s="23">
        <f>I10+I14+I18</f>
        <v>292000</v>
      </c>
    </row>
    <row r="23" spans="1:12" ht="13.5" customHeight="1">
      <c r="A23" s="2" t="s">
        <v>108</v>
      </c>
      <c r="B23" s="6"/>
      <c r="C23" s="23">
        <f>C11+C15+C19</f>
        <v>9187500</v>
      </c>
      <c r="D23" s="23">
        <f t="shared" si="0"/>
        <v>10718750</v>
      </c>
      <c r="E23" s="23">
        <f t="shared" si="0"/>
        <v>2600000</v>
      </c>
      <c r="F23" s="23">
        <f t="shared" si="0"/>
        <v>366250</v>
      </c>
      <c r="G23" s="47">
        <f>SUM(C23:F23)</f>
        <v>22872500</v>
      </c>
      <c r="H23" s="7"/>
      <c r="I23" s="23">
        <f>I11+I15+I19</f>
        <v>821250</v>
      </c>
      <c r="K23" t="s">
        <v>33</v>
      </c>
      <c r="L23" s="57" t="s">
        <v>34</v>
      </c>
    </row>
    <row r="24" spans="1:11" ht="13.5" customHeight="1">
      <c r="A24" s="2"/>
      <c r="B24" s="12"/>
      <c r="C24" s="12"/>
      <c r="D24" s="12"/>
      <c r="E24" s="12"/>
      <c r="F24" s="12"/>
      <c r="G24" s="12"/>
      <c r="H24" s="7"/>
      <c r="I24" s="12"/>
      <c r="K24" t="s">
        <v>37</v>
      </c>
    </row>
    <row r="25" spans="1:11" ht="13.5" customHeight="1">
      <c r="A25" s="88" t="s">
        <v>99</v>
      </c>
      <c r="B25" s="88"/>
      <c r="C25" s="88"/>
      <c r="D25" s="88"/>
      <c r="E25" s="12"/>
      <c r="F25" s="12"/>
      <c r="G25" s="12"/>
      <c r="H25" s="7"/>
      <c r="I25" s="12"/>
      <c r="K25" t="s">
        <v>38</v>
      </c>
    </row>
    <row r="26" spans="1:9" ht="13.5" customHeight="1">
      <c r="A26" s="2" t="s">
        <v>117</v>
      </c>
      <c r="B26" s="6"/>
      <c r="C26" s="23">
        <f>Subscriptions!C26*'Xfers per sub'!C26</f>
        <v>1460</v>
      </c>
      <c r="D26" s="23">
        <f>Subscriptions!D26*'Xfers per sub'!D26</f>
        <v>2190</v>
      </c>
      <c r="E26" s="23">
        <f>Subscriptions!E26*'Xfers per sub'!E26</f>
        <v>1095</v>
      </c>
      <c r="F26" s="23">
        <f>Subscriptions!F26*'Xfers per sub'!F26</f>
        <v>365</v>
      </c>
      <c r="G26" s="8">
        <f>SUM(C26:F26)</f>
        <v>5110</v>
      </c>
      <c r="H26" s="7"/>
      <c r="I26" s="49">
        <f>I22+G26</f>
        <v>297110</v>
      </c>
    </row>
    <row r="27" spans="1:9" ht="13.5" customHeight="1">
      <c r="A27" s="2" t="s">
        <v>118</v>
      </c>
      <c r="B27" s="6"/>
      <c r="C27" s="23">
        <f>Subscriptions!C27*'Xfers per sub'!C27</f>
        <v>182500</v>
      </c>
      <c r="D27" s="23">
        <f>Subscriptions!D27*'Xfers per sub'!D27</f>
        <v>36500</v>
      </c>
      <c r="E27" s="23">
        <f>Subscriptions!E27*'Xfers per sub'!E27</f>
        <v>3650</v>
      </c>
      <c r="F27" s="23">
        <f>Subscriptions!F27*'Xfers per sub'!F27</f>
        <v>365</v>
      </c>
      <c r="G27" s="8">
        <f>SUM(C27:F27)</f>
        <v>223015</v>
      </c>
      <c r="H27" s="7"/>
      <c r="I27" s="49">
        <f>I23+G27</f>
        <v>1044265</v>
      </c>
    </row>
    <row r="29" ht="13.5" customHeight="1">
      <c r="K29" s="38" t="s">
        <v>66</v>
      </c>
    </row>
    <row r="30" spans="1:11" ht="13.5" customHeight="1">
      <c r="A30" s="13" t="s">
        <v>22</v>
      </c>
      <c r="K30" s="38"/>
    </row>
    <row r="31" ht="13.5" customHeight="1">
      <c r="K31" s="38" t="s">
        <v>65</v>
      </c>
    </row>
    <row r="32" spans="1:11" ht="13.5" customHeight="1">
      <c r="A32" s="6"/>
      <c r="B32" s="4" t="s">
        <v>114</v>
      </c>
      <c r="C32" s="4" t="s">
        <v>107</v>
      </c>
      <c r="D32" s="4" t="s">
        <v>109</v>
      </c>
      <c r="E32" s="4" t="s">
        <v>110</v>
      </c>
      <c r="F32" s="4" t="s">
        <v>30</v>
      </c>
      <c r="G32" s="4" t="s">
        <v>116</v>
      </c>
      <c r="H32" s="6"/>
      <c r="I32" s="10" t="s">
        <v>192</v>
      </c>
      <c r="K32" s="38" t="s">
        <v>17</v>
      </c>
    </row>
    <row r="33" spans="1:9" ht="13.5" customHeight="1">
      <c r="A33" s="6"/>
      <c r="B33" s="6"/>
      <c r="C33" s="22"/>
      <c r="D33" s="22"/>
      <c r="E33" s="22"/>
      <c r="F33" s="22"/>
      <c r="G33" s="6"/>
      <c r="H33" s="6"/>
      <c r="I33" s="27" t="s">
        <v>100</v>
      </c>
    </row>
    <row r="34" spans="1:9" ht="13.5" customHeight="1">
      <c r="A34" s="2"/>
      <c r="B34" s="6"/>
      <c r="C34" s="22"/>
      <c r="D34" s="22"/>
      <c r="E34" s="22"/>
      <c r="F34" s="22"/>
      <c r="G34" s="6"/>
      <c r="H34" s="6"/>
      <c r="I34" s="27" t="s">
        <v>101</v>
      </c>
    </row>
    <row r="35" spans="1:9" ht="13.5" customHeight="1">
      <c r="A35" s="2"/>
      <c r="B35" s="9"/>
      <c r="C35" s="6"/>
      <c r="D35" s="6"/>
      <c r="E35" s="6"/>
      <c r="F35" s="6"/>
      <c r="G35" s="6"/>
      <c r="H35" s="6"/>
      <c r="I35" s="27" t="s">
        <v>102</v>
      </c>
    </row>
    <row r="36" spans="1:8" ht="13.5" customHeight="1">
      <c r="A36" s="18" t="s">
        <v>20</v>
      </c>
      <c r="B36" s="9"/>
      <c r="C36" s="12"/>
      <c r="D36" s="12"/>
      <c r="E36" s="12"/>
      <c r="F36" s="12"/>
      <c r="G36" s="6"/>
      <c r="H36" s="6"/>
    </row>
    <row r="37" spans="1:8" ht="13.5" customHeight="1">
      <c r="A37" s="3" t="s">
        <v>107</v>
      </c>
      <c r="B37" s="12"/>
      <c r="C37" s="11"/>
      <c r="D37" s="11"/>
      <c r="E37" s="11"/>
      <c r="F37" s="11"/>
      <c r="G37" s="6"/>
      <c r="H37" s="8"/>
    </row>
    <row r="38" spans="1:9" ht="13.5" customHeight="1">
      <c r="A38" s="2" t="s">
        <v>121</v>
      </c>
      <c r="B38" s="12"/>
      <c r="C38" s="35">
        <f>C10/Subscriptions!$B10</f>
        <v>8</v>
      </c>
      <c r="D38" s="35">
        <f>D10/Subscriptions!$B10</f>
        <v>30.000000000000007</v>
      </c>
      <c r="E38" s="35">
        <f>E10/Subscriptions!$B10</f>
        <v>150</v>
      </c>
      <c r="F38" s="35">
        <f>F10/Subscriptions!$B10</f>
        <v>100</v>
      </c>
      <c r="G38" s="47">
        <f>SUM(C38:F38)</f>
        <v>288</v>
      </c>
      <c r="H38" s="8"/>
      <c r="I38" s="48">
        <f>IF(L23="1 file per day",I10/Subscriptions!$B10,G38)</f>
        <v>365</v>
      </c>
    </row>
    <row r="39" spans="1:9" ht="13.5" customHeight="1">
      <c r="A39" s="2" t="s">
        <v>118</v>
      </c>
      <c r="B39" s="12"/>
      <c r="C39" s="35">
        <f>C11/Subscriptions!$B11</f>
        <v>1000</v>
      </c>
      <c r="D39" s="35">
        <f>D11/Subscriptions!$B11</f>
        <v>500</v>
      </c>
      <c r="E39" s="35">
        <f>E11/Subscriptions!$B11</f>
        <v>500</v>
      </c>
      <c r="F39" s="35">
        <f>F11/Subscriptions!$B11</f>
        <v>100</v>
      </c>
      <c r="G39" s="47">
        <f>SUM(C39:F39)</f>
        <v>2100</v>
      </c>
      <c r="H39" s="8"/>
      <c r="I39" s="48">
        <f>I11/Subscriptions!$B11</f>
        <v>365</v>
      </c>
    </row>
    <row r="40" spans="1:9" ht="13.5" customHeight="1">
      <c r="A40" s="2"/>
      <c r="B40" s="12"/>
      <c r="C40" s="23"/>
      <c r="D40" s="23"/>
      <c r="E40" s="23"/>
      <c r="F40" s="23"/>
      <c r="G40" s="36"/>
      <c r="H40" s="8"/>
      <c r="I40" s="38"/>
    </row>
    <row r="41" spans="1:9" ht="13.5" customHeight="1">
      <c r="A41" s="3" t="s">
        <v>109</v>
      </c>
      <c r="B41" s="12"/>
      <c r="C41" s="23"/>
      <c r="D41" s="23"/>
      <c r="E41" s="23"/>
      <c r="F41" s="23"/>
      <c r="G41" s="36"/>
      <c r="H41" s="8"/>
      <c r="I41" s="38"/>
    </row>
    <row r="42" spans="1:9" ht="13.5" customHeight="1">
      <c r="A42" s="2" t="s">
        <v>19</v>
      </c>
      <c r="B42" s="6"/>
      <c r="C42" s="35">
        <f>C14/Subscriptions!$B14</f>
        <v>50</v>
      </c>
      <c r="D42" s="35">
        <f>D14/Subscriptions!$B14</f>
        <v>375</v>
      </c>
      <c r="E42" s="35">
        <f>E14/Subscriptions!$B14</f>
        <v>562.5</v>
      </c>
      <c r="F42" s="35">
        <f>F14/Subscriptions!$B14</f>
        <v>250</v>
      </c>
      <c r="G42" s="47">
        <f>SUM(C42:F42)</f>
        <v>1237.5</v>
      </c>
      <c r="H42" s="8"/>
      <c r="I42" s="48">
        <f>I14/Subscriptions!$B14</f>
        <v>365</v>
      </c>
    </row>
    <row r="43" spans="1:9" ht="13.5" customHeight="1">
      <c r="A43" s="2" t="s">
        <v>108</v>
      </c>
      <c r="B43" s="6"/>
      <c r="C43" s="35">
        <f>C15/Subscriptions!$B15</f>
        <v>6250</v>
      </c>
      <c r="D43" s="35">
        <f>D15/Subscriptions!$B15</f>
        <v>6250</v>
      </c>
      <c r="E43" s="35">
        <f>E15/Subscriptions!$B15</f>
        <v>1875</v>
      </c>
      <c r="F43" s="35">
        <f>F15/Subscriptions!$B15</f>
        <v>250</v>
      </c>
      <c r="G43" s="47">
        <f>SUM(C43:F43)</f>
        <v>14625</v>
      </c>
      <c r="H43" s="8"/>
      <c r="I43" s="48">
        <f>I15/Subscriptions!$B15</f>
        <v>365</v>
      </c>
    </row>
    <row r="44" spans="1:9" ht="13.5" customHeight="1">
      <c r="A44" s="2"/>
      <c r="B44" s="12"/>
      <c r="C44" s="23"/>
      <c r="D44" s="23"/>
      <c r="E44" s="23"/>
      <c r="F44" s="23"/>
      <c r="G44" s="36"/>
      <c r="H44" s="8"/>
      <c r="I44" s="38"/>
    </row>
    <row r="45" spans="1:9" ht="13.5" customHeight="1">
      <c r="A45" s="3" t="s">
        <v>110</v>
      </c>
      <c r="B45" s="12"/>
      <c r="C45" s="23"/>
      <c r="D45" s="23"/>
      <c r="E45" s="23"/>
      <c r="F45" s="23"/>
      <c r="G45" s="36"/>
      <c r="H45" s="8"/>
      <c r="I45" s="38"/>
    </row>
    <row r="46" spans="1:9" ht="13.5" customHeight="1">
      <c r="A46" s="2" t="s">
        <v>19</v>
      </c>
      <c r="B46" s="6"/>
      <c r="C46" s="35">
        <f>C18/Subscriptions!$B18</f>
        <v>146</v>
      </c>
      <c r="D46" s="35">
        <f>D18/Subscriptions!$B18</f>
        <v>1642.5</v>
      </c>
      <c r="E46" s="35">
        <f>E18/Subscriptions!$B18</f>
        <v>1095</v>
      </c>
      <c r="F46" s="35">
        <f>F18/Subscriptions!$B18</f>
        <v>365</v>
      </c>
      <c r="G46" s="47">
        <f>SUM(C46:F46)</f>
        <v>3248.5</v>
      </c>
      <c r="H46" s="8"/>
      <c r="I46" s="48">
        <f>I18/Subscriptions!$B18</f>
        <v>365</v>
      </c>
    </row>
    <row r="47" spans="1:9" ht="13.5" customHeight="1">
      <c r="A47" s="2" t="s">
        <v>108</v>
      </c>
      <c r="B47" s="6"/>
      <c r="C47" s="35">
        <f>C19/Subscriptions!$B19</f>
        <v>18250</v>
      </c>
      <c r="D47" s="35">
        <f>D19/Subscriptions!$B19</f>
        <v>27375</v>
      </c>
      <c r="E47" s="35">
        <f>E19/Subscriptions!$B19</f>
        <v>3650</v>
      </c>
      <c r="F47" s="35">
        <f>F19/Subscriptions!$B19</f>
        <v>365</v>
      </c>
      <c r="G47" s="47">
        <f>SUM(C47:F47)</f>
        <v>49640</v>
      </c>
      <c r="H47" s="6"/>
      <c r="I47" s="48">
        <f>I19/Subscriptions!$B19</f>
        <v>365</v>
      </c>
    </row>
    <row r="48" spans="1:8" ht="13.5" customHeight="1">
      <c r="A48" s="2"/>
      <c r="B48" s="12"/>
      <c r="C48" s="24"/>
      <c r="D48" s="24"/>
      <c r="E48" s="24"/>
      <c r="F48" s="24"/>
      <c r="G48" s="23"/>
      <c r="H48" s="8"/>
    </row>
    <row r="49" spans="1:8" ht="13.5" customHeight="1">
      <c r="A49" s="3" t="s">
        <v>120</v>
      </c>
      <c r="B49" s="12"/>
      <c r="C49" s="23"/>
      <c r="D49" s="23"/>
      <c r="E49" s="23"/>
      <c r="F49" s="23"/>
      <c r="G49" s="12"/>
      <c r="H49" s="8"/>
    </row>
    <row r="50" spans="1:8" ht="13.5" customHeight="1">
      <c r="A50" s="2" t="s">
        <v>19</v>
      </c>
      <c r="B50" s="6"/>
      <c r="C50" s="23"/>
      <c r="D50" s="23"/>
      <c r="E50" s="23"/>
      <c r="F50" s="23"/>
      <c r="G50" s="12"/>
      <c r="H50" s="8"/>
    </row>
    <row r="51" spans="1:8" ht="13.5" customHeight="1">
      <c r="A51" s="2" t="s">
        <v>108</v>
      </c>
      <c r="B51" s="6"/>
      <c r="C51" s="23"/>
      <c r="D51" s="23"/>
      <c r="E51" s="23"/>
      <c r="F51" s="23"/>
      <c r="G51" s="12"/>
      <c r="H51" s="7"/>
    </row>
    <row r="52" spans="1:8" ht="13.5" customHeight="1">
      <c r="A52" s="2"/>
      <c r="B52" s="12"/>
      <c r="C52" s="12"/>
      <c r="D52" s="12"/>
      <c r="E52" s="12"/>
      <c r="F52" s="12"/>
      <c r="G52" s="12"/>
      <c r="H52" s="7"/>
    </row>
    <row r="53" spans="1:8" ht="13.5" customHeight="1">
      <c r="A53" s="3" t="s">
        <v>119</v>
      </c>
      <c r="B53" s="12"/>
      <c r="C53" s="12"/>
      <c r="D53" s="12"/>
      <c r="E53" s="12"/>
      <c r="F53" s="12"/>
      <c r="G53" s="12"/>
      <c r="H53" s="7"/>
    </row>
    <row r="54" spans="1:8" ht="13.5" customHeight="1">
      <c r="A54" s="2" t="s">
        <v>117</v>
      </c>
      <c r="B54" s="6"/>
      <c r="C54" s="8"/>
      <c r="D54" s="8"/>
      <c r="E54" s="8"/>
      <c r="F54" s="8"/>
      <c r="G54" s="8"/>
      <c r="H54" s="7"/>
    </row>
    <row r="55" spans="1:8" ht="13.5" customHeight="1">
      <c r="A55" s="2" t="s">
        <v>118</v>
      </c>
      <c r="B55" s="6"/>
      <c r="C55" s="8"/>
      <c r="D55" s="8"/>
      <c r="E55" s="8"/>
      <c r="F55" s="8"/>
      <c r="G55" s="8"/>
      <c r="H55" s="7"/>
    </row>
    <row r="58" ht="13.5" customHeight="1">
      <c r="A58" s="13" t="s">
        <v>21</v>
      </c>
    </row>
    <row r="60" spans="1:9" ht="13.5" customHeight="1">
      <c r="A60" s="6"/>
      <c r="B60" s="4" t="s">
        <v>114</v>
      </c>
      <c r="C60" s="4" t="s">
        <v>107</v>
      </c>
      <c r="D60" s="4" t="s">
        <v>109</v>
      </c>
      <c r="E60" s="4" t="s">
        <v>110</v>
      </c>
      <c r="F60" s="4" t="s">
        <v>30</v>
      </c>
      <c r="G60" s="4" t="s">
        <v>116</v>
      </c>
      <c r="H60" s="6"/>
      <c r="I60" s="10" t="s">
        <v>192</v>
      </c>
    </row>
    <row r="61" spans="1:9" ht="13.5" customHeight="1">
      <c r="A61" s="6"/>
      <c r="B61" s="6"/>
      <c r="C61" s="22"/>
      <c r="D61" s="22"/>
      <c r="E61" s="22"/>
      <c r="F61" s="22"/>
      <c r="G61" s="6"/>
      <c r="H61" s="6"/>
      <c r="I61" s="27" t="s">
        <v>100</v>
      </c>
    </row>
    <row r="62" spans="1:9" ht="13.5" customHeight="1">
      <c r="A62" s="2"/>
      <c r="B62" s="6"/>
      <c r="C62" s="22"/>
      <c r="D62" s="22"/>
      <c r="E62" s="22"/>
      <c r="F62" s="22"/>
      <c r="G62" s="6"/>
      <c r="H62" s="6"/>
      <c r="I62" s="27" t="s">
        <v>101</v>
      </c>
    </row>
    <row r="63" spans="1:9" ht="13.5" customHeight="1">
      <c r="A63" s="2"/>
      <c r="B63" s="9"/>
      <c r="C63" s="6"/>
      <c r="D63" s="6"/>
      <c r="E63" s="6"/>
      <c r="F63" s="6"/>
      <c r="G63" s="6"/>
      <c r="H63" s="6"/>
      <c r="I63" s="27" t="s">
        <v>102</v>
      </c>
    </row>
    <row r="64" spans="1:8" ht="13.5" customHeight="1">
      <c r="A64" s="18" t="s">
        <v>20</v>
      </c>
      <c r="B64" s="9"/>
      <c r="C64" s="12"/>
      <c r="D64" s="12"/>
      <c r="E64" s="12"/>
      <c r="F64" s="12"/>
      <c r="G64" s="6"/>
      <c r="H64" s="6"/>
    </row>
    <row r="65" spans="1:8" ht="13.5" customHeight="1">
      <c r="A65" s="3" t="s">
        <v>107</v>
      </c>
      <c r="B65" s="12"/>
      <c r="C65" s="11"/>
      <c r="D65" s="11"/>
      <c r="E65" s="11"/>
      <c r="F65" s="11"/>
      <c r="G65" s="6"/>
      <c r="H65" s="8"/>
    </row>
    <row r="66" spans="1:8" ht="13.5" customHeight="1">
      <c r="A66" s="2" t="s">
        <v>121</v>
      </c>
      <c r="B66" s="12"/>
      <c r="C66" s="23">
        <f>C10/Subscriptions!C$5</f>
        <v>1000</v>
      </c>
      <c r="D66" s="23">
        <f>D10/Subscriptions!D$5</f>
        <v>2500.0000000000005</v>
      </c>
      <c r="E66" s="23">
        <f>E10/Subscriptions!E$5</f>
        <v>25000</v>
      </c>
      <c r="F66" s="23">
        <f>F10/Subscriptions!F$5</f>
        <v>50000</v>
      </c>
      <c r="G66" s="23"/>
      <c r="H66" s="8"/>
    </row>
    <row r="67" spans="1:8" ht="13.5" customHeight="1">
      <c r="A67" s="2" t="s">
        <v>118</v>
      </c>
      <c r="B67" s="12"/>
      <c r="C67" s="23">
        <f>C11/Subscriptions!C$6</f>
        <v>3000</v>
      </c>
      <c r="D67" s="23">
        <f>D11/Subscriptions!D$6</f>
        <v>7500</v>
      </c>
      <c r="E67" s="23">
        <f>E11/Subscriptions!E$6</f>
        <v>75000</v>
      </c>
      <c r="F67" s="23">
        <f>F11/Subscriptions!F$6</f>
        <v>150000</v>
      </c>
      <c r="G67" s="23"/>
      <c r="H67" s="8"/>
    </row>
    <row r="68" spans="1:8" ht="13.5" customHeight="1">
      <c r="A68" s="2"/>
      <c r="B68" s="12"/>
      <c r="C68" s="23"/>
      <c r="D68" s="23"/>
      <c r="E68" s="23"/>
      <c r="F68" s="23"/>
      <c r="G68" s="23"/>
      <c r="H68" s="8"/>
    </row>
    <row r="69" spans="1:8" ht="13.5" customHeight="1">
      <c r="A69" s="3" t="s">
        <v>109</v>
      </c>
      <c r="B69" s="12"/>
      <c r="C69" s="23"/>
      <c r="D69" s="23"/>
      <c r="E69" s="23"/>
      <c r="F69" s="23"/>
      <c r="G69" s="23"/>
      <c r="H69" s="8"/>
    </row>
    <row r="70" spans="1:8" ht="13.5" customHeight="1">
      <c r="A70" s="2" t="s">
        <v>19</v>
      </c>
      <c r="B70" s="6"/>
      <c r="C70" s="23">
        <f>C14/Subscriptions!C$5</f>
        <v>2500</v>
      </c>
      <c r="D70" s="23">
        <f>D14/Subscriptions!D$5</f>
        <v>12500</v>
      </c>
      <c r="E70" s="23">
        <f>E14/Subscriptions!E$5</f>
        <v>37500</v>
      </c>
      <c r="F70" s="23">
        <f>F14/Subscriptions!F$5</f>
        <v>50000</v>
      </c>
      <c r="G70" s="23"/>
      <c r="H70" s="8"/>
    </row>
    <row r="71" spans="1:8" ht="13.5" customHeight="1">
      <c r="A71" s="2" t="s">
        <v>108</v>
      </c>
      <c r="B71" s="6"/>
      <c r="C71" s="23">
        <f>C15/Subscriptions!C$6</f>
        <v>6250</v>
      </c>
      <c r="D71" s="23">
        <f>D15/Subscriptions!D$6</f>
        <v>31250</v>
      </c>
      <c r="E71" s="23">
        <f>E15/Subscriptions!E$6</f>
        <v>93750</v>
      </c>
      <c r="F71" s="23">
        <f>F15/Subscriptions!F$6</f>
        <v>125000</v>
      </c>
      <c r="G71" s="23"/>
      <c r="H71" s="8"/>
    </row>
    <row r="72" spans="1:8" ht="13.5" customHeight="1">
      <c r="A72" s="2"/>
      <c r="B72" s="12"/>
      <c r="C72" s="23"/>
      <c r="D72" s="23"/>
      <c r="E72" s="23"/>
      <c r="F72" s="23"/>
      <c r="G72" s="23"/>
      <c r="H72" s="8"/>
    </row>
    <row r="73" spans="1:8" ht="13.5" customHeight="1">
      <c r="A73" s="3" t="s">
        <v>110</v>
      </c>
      <c r="B73" s="12"/>
      <c r="C73" s="23"/>
      <c r="D73" s="23"/>
      <c r="E73" s="23"/>
      <c r="F73" s="23"/>
      <c r="G73" s="23"/>
      <c r="H73" s="8"/>
    </row>
    <row r="74" spans="1:8" ht="13.5" customHeight="1">
      <c r="A74" s="2" t="s">
        <v>19</v>
      </c>
      <c r="B74" s="6"/>
      <c r="C74" s="23">
        <f>C18/Subscriptions!C$5</f>
        <v>3650</v>
      </c>
      <c r="D74" s="23">
        <f>D18/Subscriptions!D$5</f>
        <v>27375</v>
      </c>
      <c r="E74" s="23">
        <f>E18/Subscriptions!E$5</f>
        <v>36500</v>
      </c>
      <c r="F74" s="23">
        <f>F18/Subscriptions!F$5</f>
        <v>36500</v>
      </c>
      <c r="G74" s="23"/>
      <c r="H74" s="8"/>
    </row>
    <row r="75" spans="1:8" ht="13.5" customHeight="1">
      <c r="A75" s="2" t="s">
        <v>108</v>
      </c>
      <c r="B75" s="6"/>
      <c r="C75" s="23">
        <f>C19/Subscriptions!C$6</f>
        <v>9125</v>
      </c>
      <c r="D75" s="23">
        <f>D19/Subscriptions!D$6</f>
        <v>68437.5</v>
      </c>
      <c r="E75" s="23">
        <f>E19/Subscriptions!E$6</f>
        <v>91250</v>
      </c>
      <c r="F75" s="23">
        <f>F19/Subscriptions!F$6</f>
        <v>91250</v>
      </c>
      <c r="G75" s="23"/>
      <c r="H75" s="6"/>
    </row>
    <row r="76" spans="1:8" ht="13.5" customHeight="1">
      <c r="A76" s="2"/>
      <c r="B76" s="12"/>
      <c r="C76" s="24"/>
      <c r="D76" s="24"/>
      <c r="E76" s="24"/>
      <c r="F76" s="24"/>
      <c r="G76" s="23"/>
      <c r="H76" s="8"/>
    </row>
    <row r="77" spans="1:8" ht="13.5" customHeight="1">
      <c r="A77" s="3" t="s">
        <v>120</v>
      </c>
      <c r="B77" s="12"/>
      <c r="C77" s="23"/>
      <c r="D77" s="23"/>
      <c r="E77" s="23"/>
      <c r="F77" s="23"/>
      <c r="G77" s="23"/>
      <c r="H77" s="8"/>
    </row>
    <row r="78" spans="1:8" ht="13.5" customHeight="1">
      <c r="A78" s="2" t="s">
        <v>19</v>
      </c>
      <c r="B78" s="6"/>
      <c r="C78" s="47">
        <f>C66+C70+C74</f>
        <v>7150</v>
      </c>
      <c r="D78" s="47">
        <f aca="true" t="shared" si="1" ref="D78:F79">D66+D70+D74</f>
        <v>42375</v>
      </c>
      <c r="E78" s="47">
        <f t="shared" si="1"/>
        <v>99000</v>
      </c>
      <c r="F78" s="47">
        <f t="shared" si="1"/>
        <v>136500</v>
      </c>
      <c r="G78" s="23"/>
      <c r="H78" s="8"/>
    </row>
    <row r="79" spans="1:8" ht="13.5" customHeight="1">
      <c r="A79" s="2" t="s">
        <v>108</v>
      </c>
      <c r="B79" s="6"/>
      <c r="C79" s="47">
        <f>C67+C71+C75</f>
        <v>18375</v>
      </c>
      <c r="D79" s="47">
        <f t="shared" si="1"/>
        <v>107187.5</v>
      </c>
      <c r="E79" s="47">
        <f t="shared" si="1"/>
        <v>260000</v>
      </c>
      <c r="F79" s="47">
        <f t="shared" si="1"/>
        <v>366250</v>
      </c>
      <c r="G79" s="23"/>
      <c r="H79" s="7"/>
    </row>
    <row r="80" spans="1:8" ht="13.5" customHeight="1">
      <c r="A80" s="2"/>
      <c r="B80" s="12"/>
      <c r="C80" s="12"/>
      <c r="D80" s="12"/>
      <c r="E80" s="12"/>
      <c r="F80" s="12"/>
      <c r="G80" s="12"/>
      <c r="H80" s="7"/>
    </row>
    <row r="81" spans="1:8" ht="13.5" customHeight="1">
      <c r="A81" s="3" t="s">
        <v>119</v>
      </c>
      <c r="B81" s="12"/>
      <c r="C81" s="12"/>
      <c r="D81" s="12"/>
      <c r="E81" s="12"/>
      <c r="F81" s="12"/>
      <c r="G81" s="12"/>
      <c r="H81" s="7"/>
    </row>
    <row r="82" spans="1:8" ht="13.5" customHeight="1">
      <c r="A82" s="2" t="s">
        <v>117</v>
      </c>
      <c r="B82" s="6"/>
      <c r="C82" s="48">
        <f>C26/Subscriptions!C$5</f>
        <v>365</v>
      </c>
      <c r="D82" s="48">
        <f>D26/Subscriptions!D$5</f>
        <v>365</v>
      </c>
      <c r="E82" s="48">
        <f>E26/Subscriptions!E$5</f>
        <v>365</v>
      </c>
      <c r="F82" s="48">
        <f>F26/Subscriptions!F$5</f>
        <v>365</v>
      </c>
      <c r="G82" s="8"/>
      <c r="H82" s="7"/>
    </row>
    <row r="83" spans="1:8" ht="13.5" customHeight="1">
      <c r="A83" s="2" t="s">
        <v>118</v>
      </c>
      <c r="B83" s="6"/>
      <c r="C83" s="48">
        <f>C27/Subscriptions!C$6</f>
        <v>365</v>
      </c>
      <c r="D83" s="48">
        <f>D27/Subscriptions!D$6</f>
        <v>365</v>
      </c>
      <c r="E83" s="48">
        <f>E27/Subscriptions!E$6</f>
        <v>365</v>
      </c>
      <c r="F83" s="48">
        <f>F27/Subscriptions!F$6</f>
        <v>365</v>
      </c>
      <c r="G83" s="8"/>
      <c r="H83" s="7"/>
    </row>
  </sheetData>
  <sheetProtection/>
  <mergeCells count="2">
    <mergeCell ref="A1:D1"/>
    <mergeCell ref="A25:D25"/>
  </mergeCells>
  <dataValidations count="1">
    <dataValidation type="list" showInputMessage="1" showErrorMessage="1" sqref="L23">
      <formula1>$P$1:$P$2</formula1>
    </dataValidation>
  </dataValidation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="125" zoomScaleNormal="125" zoomScalePageLayoutView="0" workbookViewId="0" topLeftCell="A1">
      <selection activeCell="D7" sqref="D7"/>
    </sheetView>
  </sheetViews>
  <sheetFormatPr defaultColWidth="12.00390625" defaultRowHeight="13.5" customHeight="1"/>
  <cols>
    <col min="1" max="9" width="12.00390625" style="0" customWidth="1"/>
    <col min="10" max="10" width="2.28125" style="52" customWidth="1"/>
  </cols>
  <sheetData>
    <row r="1" spans="1:18" ht="13.5" customHeight="1">
      <c r="A1" s="86" t="s">
        <v>104</v>
      </c>
      <c r="B1" s="86"/>
      <c r="C1" s="86"/>
      <c r="D1" s="86"/>
      <c r="E1" s="86"/>
      <c r="F1" s="86"/>
      <c r="G1" s="9"/>
      <c r="H1" s="9"/>
      <c r="I1" s="9"/>
      <c r="R1" t="s">
        <v>2</v>
      </c>
    </row>
    <row r="2" spans="1:18" ht="13.5" customHeight="1">
      <c r="A2" s="13" t="s">
        <v>103</v>
      </c>
      <c r="B2" s="5"/>
      <c r="C2" s="5"/>
      <c r="D2" s="5"/>
      <c r="E2" s="5"/>
      <c r="F2" s="5"/>
      <c r="G2" s="5"/>
      <c r="H2" s="5"/>
      <c r="I2" s="9"/>
      <c r="R2" t="s">
        <v>72</v>
      </c>
    </row>
    <row r="3" spans="1:11" ht="13.5" customHeight="1">
      <c r="A3" s="5"/>
      <c r="B3" s="5"/>
      <c r="C3" s="5"/>
      <c r="D3" s="5"/>
      <c r="E3" s="5"/>
      <c r="F3" s="5"/>
      <c r="G3" s="5"/>
      <c r="H3" s="5"/>
      <c r="I3" s="9"/>
      <c r="K3" t="s">
        <v>89</v>
      </c>
    </row>
    <row r="4" spans="1:11" ht="13.5" customHeight="1">
      <c r="A4" s="6"/>
      <c r="B4" s="4" t="s">
        <v>28</v>
      </c>
      <c r="C4" s="4" t="s">
        <v>107</v>
      </c>
      <c r="D4" s="4" t="s">
        <v>109</v>
      </c>
      <c r="E4" s="4" t="s">
        <v>110</v>
      </c>
      <c r="F4" s="4" t="s">
        <v>30</v>
      </c>
      <c r="G4" s="4" t="s">
        <v>116</v>
      </c>
      <c r="H4" s="6"/>
      <c r="I4" s="10" t="s">
        <v>192</v>
      </c>
      <c r="K4" t="s">
        <v>90</v>
      </c>
    </row>
    <row r="5" spans="1:11" ht="13.5" customHeight="1">
      <c r="A5" s="6"/>
      <c r="B5" s="6" t="s">
        <v>19</v>
      </c>
      <c r="C5" s="19">
        <v>20000</v>
      </c>
      <c r="D5" s="19">
        <v>200000</v>
      </c>
      <c r="E5" s="19">
        <v>4000000</v>
      </c>
      <c r="F5" s="19">
        <v>105000000</v>
      </c>
      <c r="G5" s="6"/>
      <c r="H5" s="6"/>
      <c r="I5" s="27" t="s">
        <v>100</v>
      </c>
      <c r="K5" t="s">
        <v>91</v>
      </c>
    </row>
    <row r="6" spans="1:9" ht="13.5" customHeight="1">
      <c r="A6" s="2"/>
      <c r="B6" s="6" t="s">
        <v>108</v>
      </c>
      <c r="C6" s="19">
        <v>50000</v>
      </c>
      <c r="D6" s="19">
        <v>500000</v>
      </c>
      <c r="E6" s="19">
        <v>10000000</v>
      </c>
      <c r="F6" s="19">
        <v>200000000</v>
      </c>
      <c r="G6" s="6"/>
      <c r="H6" s="6"/>
      <c r="I6" s="27" t="s">
        <v>101</v>
      </c>
    </row>
    <row r="7" spans="1:9" ht="13.5" customHeight="1">
      <c r="A7" s="2"/>
      <c r="B7" s="9"/>
      <c r="C7" s="6"/>
      <c r="D7" s="6"/>
      <c r="E7" s="6"/>
      <c r="F7" s="6"/>
      <c r="G7" s="6"/>
      <c r="H7" s="6"/>
      <c r="I7" s="27" t="s">
        <v>102</v>
      </c>
    </row>
    <row r="8" spans="1:11" ht="13.5" customHeight="1">
      <c r="A8" s="18"/>
      <c r="B8" s="9"/>
      <c r="C8" s="9"/>
      <c r="D8" s="9"/>
      <c r="E8" s="9"/>
      <c r="F8" s="9"/>
      <c r="G8" s="6"/>
      <c r="H8" s="6"/>
      <c r="I8" s="9"/>
      <c r="K8" t="s">
        <v>113</v>
      </c>
    </row>
    <row r="9" spans="1:11" ht="13.5" customHeight="1">
      <c r="A9" s="3" t="s">
        <v>107</v>
      </c>
      <c r="B9" s="12"/>
      <c r="C9" s="11"/>
      <c r="D9" s="11"/>
      <c r="E9" s="11"/>
      <c r="F9" s="11"/>
      <c r="G9" s="6"/>
      <c r="H9" s="8"/>
      <c r="I9" s="9"/>
      <c r="K9" t="s">
        <v>25</v>
      </c>
    </row>
    <row r="10" spans="1:9" ht="13.5" customHeight="1">
      <c r="A10" s="2" t="s">
        <v>121</v>
      </c>
      <c r="B10" s="12"/>
      <c r="C10" s="8">
        <f>IF($K$21="DNSSEC",C$5*($K$11+$K$16),C$5*$K$11)</f>
        <v>100000</v>
      </c>
      <c r="D10" s="8">
        <f aca="true" t="shared" si="0" ref="D10:F11">IF($K$21="DNSSEC",D5*($K$11+$K$16),D5*$K$11)</f>
        <v>1000000</v>
      </c>
      <c r="E10" s="8">
        <f t="shared" si="0"/>
        <v>20000000</v>
      </c>
      <c r="F10" s="8">
        <f t="shared" si="0"/>
        <v>525000000</v>
      </c>
      <c r="G10" s="6"/>
      <c r="H10" s="8"/>
      <c r="I10" s="17"/>
    </row>
    <row r="11" spans="1:11" ht="13.5" customHeight="1">
      <c r="A11" s="2" t="s">
        <v>118</v>
      </c>
      <c r="B11" s="12"/>
      <c r="C11" s="8">
        <f>IF($K$21="DNSSEC",C$6*($K$11+$K$16),C$6*$K$11)</f>
        <v>250000</v>
      </c>
      <c r="D11" s="8">
        <f t="shared" si="0"/>
        <v>2500000</v>
      </c>
      <c r="E11" s="8">
        <f t="shared" si="0"/>
        <v>50000000</v>
      </c>
      <c r="F11" s="8">
        <f t="shared" si="0"/>
        <v>1000000000</v>
      </c>
      <c r="G11" s="6"/>
      <c r="H11" s="8"/>
      <c r="I11" s="17"/>
      <c r="K11" s="21">
        <v>5</v>
      </c>
    </row>
    <row r="12" spans="1:9" ht="13.5" customHeight="1">
      <c r="A12" s="2"/>
      <c r="B12" s="12"/>
      <c r="C12" s="6"/>
      <c r="D12" s="6"/>
      <c r="E12" s="6"/>
      <c r="F12" s="6"/>
      <c r="G12" s="8"/>
      <c r="H12" s="8"/>
      <c r="I12" s="9"/>
    </row>
    <row r="13" spans="1:11" ht="13.5" customHeight="1">
      <c r="A13" s="3" t="s">
        <v>109</v>
      </c>
      <c r="B13" s="12"/>
      <c r="C13" s="11"/>
      <c r="D13" s="11"/>
      <c r="E13" s="11"/>
      <c r="F13" s="11"/>
      <c r="G13" s="8"/>
      <c r="H13" s="8"/>
      <c r="I13" s="9"/>
      <c r="K13" t="s">
        <v>113</v>
      </c>
    </row>
    <row r="14" spans="1:11" ht="13.5" customHeight="1">
      <c r="A14" s="2" t="s">
        <v>19</v>
      </c>
      <c r="B14" s="6"/>
      <c r="C14" s="8">
        <f>IF($K$21="DNSSEC",C$5*($K$11+$K$16),C$5*$K$11)</f>
        <v>100000</v>
      </c>
      <c r="D14" s="8">
        <f>IF($K$21="DNSSEC",D$5*($K$11+$K$16),D$5*$K$11)</f>
        <v>1000000</v>
      </c>
      <c r="E14" s="8">
        <f>IF($K$21="DNSSEC",E$5*($K$11+$K$16),E$5*$K$11)</f>
        <v>20000000</v>
      </c>
      <c r="F14" s="8">
        <f>IF($K$21="DNSSEC",F$5*($K$11+$K$16),F$5*$K$11)</f>
        <v>525000000</v>
      </c>
      <c r="G14" s="6"/>
      <c r="H14" s="8"/>
      <c r="I14" s="17"/>
      <c r="K14" t="s">
        <v>26</v>
      </c>
    </row>
    <row r="15" spans="1:9" ht="13.5" customHeight="1">
      <c r="A15" s="2" t="s">
        <v>108</v>
      </c>
      <c r="B15" s="6"/>
      <c r="C15" s="8">
        <f>IF($K$21="DNSSEC",C$6*($K$11+$K$16),C$6*$K$11)</f>
        <v>250000</v>
      </c>
      <c r="D15" s="8">
        <f>IF($K$21="DNSSEC",D$6*($K$11+$K$16),D$6*$K$11)</f>
        <v>2500000</v>
      </c>
      <c r="E15" s="8">
        <f>IF($K$21="DNSSEC",E$6*($K$11+$K$16),E$6*$K$11)</f>
        <v>50000000</v>
      </c>
      <c r="F15" s="8">
        <f>IF($K$21="DNSSEC",F$6*($K$11+$K$16),F$6*$K$11)</f>
        <v>1000000000</v>
      </c>
      <c r="G15" s="6"/>
      <c r="H15" s="8"/>
      <c r="I15" s="17"/>
    </row>
    <row r="16" spans="1:11" ht="13.5" customHeight="1">
      <c r="A16" s="2"/>
      <c r="B16" s="12"/>
      <c r="C16" s="6"/>
      <c r="D16" s="6"/>
      <c r="E16" s="6"/>
      <c r="F16" s="6"/>
      <c r="G16" s="8"/>
      <c r="H16" s="8"/>
      <c r="I16" s="9"/>
      <c r="K16" s="21">
        <v>10</v>
      </c>
    </row>
    <row r="17" spans="1:9" ht="13.5" customHeight="1">
      <c r="A17" s="3" t="s">
        <v>110</v>
      </c>
      <c r="B17" s="12"/>
      <c r="C17" s="11"/>
      <c r="D17" s="11"/>
      <c r="E17" s="11"/>
      <c r="F17" s="11"/>
      <c r="G17" s="8"/>
      <c r="H17" s="8"/>
      <c r="I17" s="9"/>
    </row>
    <row r="18" spans="1:9" ht="13.5" customHeight="1">
      <c r="A18" s="2" t="s">
        <v>19</v>
      </c>
      <c r="B18" s="6"/>
      <c r="C18" s="8">
        <f>IF($K$21="DNSSEC",C$5*($K$11+$K$16),C$5*$K$11)</f>
        <v>100000</v>
      </c>
      <c r="D18" s="8">
        <f>IF($K$21="DNSSEC",D$5*($K$11+$K$16),D$5*$K$11)</f>
        <v>1000000</v>
      </c>
      <c r="E18" s="8">
        <f>IF($K$21="DNSSEC",E$5*($K$11+$K$16),E$5*$K$11)</f>
        <v>20000000</v>
      </c>
      <c r="F18" s="8">
        <f>IF($K$21="DNSSEC",F$5*($K$11+$K$16),F$5*$K$11)</f>
        <v>525000000</v>
      </c>
      <c r="G18" s="6"/>
      <c r="H18" s="8"/>
      <c r="I18" s="17"/>
    </row>
    <row r="19" spans="1:11" ht="13.5" customHeight="1">
      <c r="A19" s="2" t="s">
        <v>108</v>
      </c>
      <c r="B19" s="6"/>
      <c r="C19" s="8">
        <f>IF($K$21="DNSSEC",C$6*($K$11+$K$16),C$6*$K$11)</f>
        <v>250000</v>
      </c>
      <c r="D19" s="8">
        <f>IF($K$21="DNSSEC",D$6*($K$11+$K$16),D$6*$K$11)</f>
        <v>2500000</v>
      </c>
      <c r="E19" s="8">
        <f>IF($K$21="DNSSEC",E$6*($K$11+$K$16),E$6*$K$11)</f>
        <v>50000000</v>
      </c>
      <c r="F19" s="8">
        <f>IF($K$21="DNSSEC",F$6*($K$11+$K$16),F$6*$K$11)</f>
        <v>1000000000</v>
      </c>
      <c r="G19" s="6"/>
      <c r="H19" s="6"/>
      <c r="I19" s="17"/>
      <c r="K19" t="s">
        <v>71</v>
      </c>
    </row>
    <row r="20" spans="1:11" ht="13.5" customHeight="1">
      <c r="A20" s="2"/>
      <c r="B20" s="12"/>
      <c r="C20" s="12"/>
      <c r="D20" s="12"/>
      <c r="E20" s="12"/>
      <c r="F20" s="12"/>
      <c r="G20" s="6"/>
      <c r="H20" s="8"/>
      <c r="I20" s="9"/>
      <c r="K20" t="s">
        <v>0</v>
      </c>
    </row>
    <row r="21" spans="1:11" ht="13.5" customHeight="1">
      <c r="A21" s="3" t="s">
        <v>120</v>
      </c>
      <c r="B21" s="12"/>
      <c r="C21" s="8"/>
      <c r="D21" s="8"/>
      <c r="E21" s="8"/>
      <c r="F21" s="8"/>
      <c r="G21" s="8"/>
      <c r="H21" s="8"/>
      <c r="I21" s="9"/>
      <c r="K21" s="57" t="s">
        <v>1</v>
      </c>
    </row>
    <row r="22" spans="1:9" ht="13.5" customHeight="1">
      <c r="A22" s="2" t="s">
        <v>19</v>
      </c>
      <c r="B22" s="6"/>
      <c r="C22" s="8"/>
      <c r="D22" s="8"/>
      <c r="E22" s="8"/>
      <c r="F22" s="8"/>
      <c r="G22" s="6"/>
      <c r="H22" s="8"/>
      <c r="I22" s="8"/>
    </row>
    <row r="23" spans="1:9" ht="13.5" customHeight="1">
      <c r="A23" s="2" t="s">
        <v>108</v>
      </c>
      <c r="B23" s="6"/>
      <c r="C23" s="8"/>
      <c r="D23" s="8"/>
      <c r="E23" s="8"/>
      <c r="F23" s="8"/>
      <c r="G23" s="6"/>
      <c r="H23" s="7"/>
      <c r="I23" s="8"/>
    </row>
    <row r="24" spans="1:9" ht="13.5" customHeight="1">
      <c r="A24" s="2"/>
      <c r="B24" s="12"/>
      <c r="C24" s="9"/>
      <c r="D24" s="9"/>
      <c r="E24" s="9"/>
      <c r="F24" s="9"/>
      <c r="G24" s="12"/>
      <c r="H24" s="7"/>
      <c r="I24" s="12"/>
    </row>
    <row r="25" spans="1:9" ht="13.5" customHeight="1">
      <c r="A25" s="88" t="s">
        <v>99</v>
      </c>
      <c r="B25" s="88"/>
      <c r="C25" s="88"/>
      <c r="D25" s="88"/>
      <c r="E25" s="9"/>
      <c r="F25" s="9"/>
      <c r="G25" s="12"/>
      <c r="H25" s="7"/>
      <c r="I25" s="12"/>
    </row>
    <row r="26" spans="1:9" ht="13.5" customHeight="1">
      <c r="A26" s="2" t="s">
        <v>117</v>
      </c>
      <c r="B26" s="12"/>
      <c r="C26" s="8">
        <f aca="true" t="shared" si="1" ref="C26:F27">C5*$K$11</f>
        <v>100000</v>
      </c>
      <c r="D26" s="8">
        <f t="shared" si="1"/>
        <v>1000000</v>
      </c>
      <c r="E26" s="8">
        <f t="shared" si="1"/>
        <v>20000000</v>
      </c>
      <c r="F26" s="8">
        <f t="shared" si="1"/>
        <v>525000000</v>
      </c>
      <c r="G26" s="8"/>
      <c r="H26" s="7"/>
      <c r="I26" s="20"/>
    </row>
    <row r="27" spans="1:9" ht="13.5" customHeight="1">
      <c r="A27" s="2" t="s">
        <v>118</v>
      </c>
      <c r="B27" s="12"/>
      <c r="C27" s="8">
        <f t="shared" si="1"/>
        <v>250000</v>
      </c>
      <c r="D27" s="8">
        <f t="shared" si="1"/>
        <v>2500000</v>
      </c>
      <c r="E27" s="8">
        <f t="shared" si="1"/>
        <v>50000000</v>
      </c>
      <c r="F27" s="8">
        <f t="shared" si="1"/>
        <v>1000000000</v>
      </c>
      <c r="G27" s="8"/>
      <c r="H27" s="7"/>
      <c r="I27" s="20"/>
    </row>
    <row r="28" spans="7:9" ht="13.5" customHeight="1">
      <c r="G28" s="1"/>
      <c r="H28" s="1"/>
      <c r="I28" s="1"/>
    </row>
  </sheetData>
  <sheetProtection/>
  <mergeCells count="2">
    <mergeCell ref="A25:D25"/>
    <mergeCell ref="A1:F1"/>
  </mergeCells>
  <dataValidations count="1">
    <dataValidation type="list" showInputMessage="1" showErrorMessage="1" sqref="K21">
      <formula1>$R$1:$R$2</formula1>
    </dataValidation>
  </dataValidations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zoomScale="125" zoomScaleNormal="125" zoomScalePageLayoutView="0" workbookViewId="0" topLeftCell="A1">
      <selection activeCell="K33" sqref="K33:K36"/>
    </sheetView>
  </sheetViews>
  <sheetFormatPr defaultColWidth="12.00390625" defaultRowHeight="13.5" customHeight="1"/>
  <cols>
    <col min="1" max="9" width="12.00390625" style="0" customWidth="1"/>
    <col min="10" max="10" width="2.421875" style="52" customWidth="1"/>
    <col min="11" max="11" width="12.8515625" style="0" customWidth="1"/>
  </cols>
  <sheetData>
    <row r="1" spans="1:18" ht="13.5" customHeight="1">
      <c r="A1" s="86" t="s">
        <v>93</v>
      </c>
      <c r="B1" s="86"/>
      <c r="C1" s="86"/>
      <c r="D1" s="86"/>
      <c r="E1" s="86"/>
      <c r="F1" s="86"/>
      <c r="G1" s="86"/>
      <c r="H1" s="9"/>
      <c r="I1" s="9"/>
      <c r="K1" s="38" t="s">
        <v>150</v>
      </c>
      <c r="R1" t="s">
        <v>182</v>
      </c>
    </row>
    <row r="2" spans="1:18" ht="13.5" customHeight="1">
      <c r="A2" s="13" t="s">
        <v>88</v>
      </c>
      <c r="B2" s="5"/>
      <c r="C2" s="5"/>
      <c r="D2" s="5"/>
      <c r="E2" s="5"/>
      <c r="F2" s="5"/>
      <c r="G2" s="5"/>
      <c r="H2" s="5"/>
      <c r="I2" s="9"/>
      <c r="R2" t="s">
        <v>184</v>
      </c>
    </row>
    <row r="3" spans="1:14" ht="13.5" customHeight="1">
      <c r="A3" s="5"/>
      <c r="B3" s="5"/>
      <c r="C3" s="5"/>
      <c r="D3" s="5"/>
      <c r="E3" s="5"/>
      <c r="F3" s="5"/>
      <c r="G3" s="5"/>
      <c r="H3" s="5"/>
      <c r="I3" s="9"/>
      <c r="L3" s="41" t="s">
        <v>151</v>
      </c>
      <c r="M3" s="41" t="s">
        <v>152</v>
      </c>
      <c r="N3" s="41" t="s">
        <v>153</v>
      </c>
    </row>
    <row r="4" spans="1:14" ht="13.5" customHeight="1">
      <c r="A4" s="6"/>
      <c r="B4" s="4" t="s">
        <v>114</v>
      </c>
      <c r="C4" s="4" t="s">
        <v>107</v>
      </c>
      <c r="D4" s="4" t="s">
        <v>109</v>
      </c>
      <c r="E4" s="4" t="s">
        <v>110</v>
      </c>
      <c r="F4" s="4" t="s">
        <v>30</v>
      </c>
      <c r="G4" s="4" t="s">
        <v>116</v>
      </c>
      <c r="H4" s="31"/>
      <c r="I4" s="10" t="s">
        <v>192</v>
      </c>
      <c r="K4" s="38" t="s">
        <v>157</v>
      </c>
      <c r="L4" s="40">
        <v>101361</v>
      </c>
      <c r="M4" s="40">
        <v>8995</v>
      </c>
      <c r="N4" s="40">
        <v>130</v>
      </c>
    </row>
    <row r="5" spans="1:14" ht="13.5" customHeight="1">
      <c r="A5" s="6"/>
      <c r="B5" s="6"/>
      <c r="C5" s="22"/>
      <c r="D5" s="22"/>
      <c r="E5" s="22"/>
      <c r="F5" s="22"/>
      <c r="G5" s="6"/>
      <c r="H5" s="31"/>
      <c r="I5" s="27" t="s">
        <v>100</v>
      </c>
      <c r="K5" s="38" t="s">
        <v>158</v>
      </c>
      <c r="L5" s="40">
        <v>60707</v>
      </c>
      <c r="M5" s="40">
        <v>4557</v>
      </c>
      <c r="N5" s="40">
        <v>64</v>
      </c>
    </row>
    <row r="6" spans="1:14" ht="13.5" customHeight="1">
      <c r="A6" s="2"/>
      <c r="B6" s="6"/>
      <c r="C6" s="22"/>
      <c r="D6" s="22"/>
      <c r="E6" s="22"/>
      <c r="F6" s="22"/>
      <c r="G6" s="6"/>
      <c r="H6" s="31"/>
      <c r="I6" s="27" t="s">
        <v>101</v>
      </c>
      <c r="K6" s="38" t="s">
        <v>73</v>
      </c>
      <c r="L6" s="40">
        <v>94779</v>
      </c>
      <c r="M6" s="40">
        <v>8065</v>
      </c>
      <c r="N6" s="40">
        <v>67</v>
      </c>
    </row>
    <row r="7" spans="1:11" ht="13.5" customHeight="1">
      <c r="A7" s="2"/>
      <c r="B7" s="9"/>
      <c r="C7" s="6"/>
      <c r="D7" s="6"/>
      <c r="E7" s="6"/>
      <c r="F7" s="6"/>
      <c r="G7" s="6"/>
      <c r="H7" s="31"/>
      <c r="I7" s="27" t="s">
        <v>102</v>
      </c>
      <c r="K7" s="38"/>
    </row>
    <row r="8" spans="1:14" ht="13.5" customHeight="1">
      <c r="A8" s="18" t="s">
        <v>20</v>
      </c>
      <c r="B8" s="9"/>
      <c r="C8" s="12"/>
      <c r="D8" s="12"/>
      <c r="E8" s="12"/>
      <c r="F8" s="12"/>
      <c r="G8" s="6"/>
      <c r="H8" s="31"/>
      <c r="I8" s="12"/>
      <c r="K8" s="38" t="s">
        <v>74</v>
      </c>
      <c r="L8" s="40">
        <f>SUM(L4:L6)</f>
        <v>256847</v>
      </c>
      <c r="M8" s="40">
        <f>SUM(M4:M6)</f>
        <v>21617</v>
      </c>
      <c r="N8" s="40">
        <f>SUM(N4:N6)</f>
        <v>261</v>
      </c>
    </row>
    <row r="9" spans="1:14" ht="13.5" customHeight="1">
      <c r="A9" s="3" t="s">
        <v>107</v>
      </c>
      <c r="B9" s="12"/>
      <c r="C9" s="11"/>
      <c r="D9" s="11"/>
      <c r="E9" s="11"/>
      <c r="F9" s="11"/>
      <c r="G9" s="6"/>
      <c r="H9" s="32"/>
      <c r="I9" s="12"/>
      <c r="K9" s="38" t="s">
        <v>75</v>
      </c>
      <c r="L9" s="40">
        <v>84526912</v>
      </c>
      <c r="M9" s="40">
        <v>7994198</v>
      </c>
      <c r="N9" s="40">
        <v>216582</v>
      </c>
    </row>
    <row r="10" spans="1:11" ht="13.5" customHeight="1">
      <c r="A10" s="2" t="s">
        <v>121</v>
      </c>
      <c r="B10" s="12"/>
      <c r="C10" s="23">
        <f>'Files per year'!C10*'ZF size'!C10/1000000000</f>
        <v>0.4</v>
      </c>
      <c r="D10" s="23">
        <f>'Files per year'!D10*'ZF size'!D10/1000000000</f>
        <v>15.000000000000004</v>
      </c>
      <c r="E10" s="23">
        <f>'Files per year'!E10*'ZF size'!E10/1000000000</f>
        <v>1500</v>
      </c>
      <c r="F10" s="23">
        <f>'Files per year'!F10*'ZF size'!F10/1000000000</f>
        <v>26250</v>
      </c>
      <c r="G10" s="23">
        <f>SUM(C10:F10)</f>
        <v>27765.4</v>
      </c>
      <c r="H10" s="32"/>
      <c r="I10" s="20">
        <f>IF($L$30="Diffs file",G10*$K$14,G10)</f>
        <v>83.29620000000001</v>
      </c>
      <c r="K10" s="38"/>
    </row>
    <row r="11" spans="1:14" ht="13.5" customHeight="1">
      <c r="A11" s="2" t="s">
        <v>118</v>
      </c>
      <c r="B11" s="12"/>
      <c r="C11" s="23">
        <f>'Files per year'!C11*'ZF size'!C11/1000000000</f>
        <v>375</v>
      </c>
      <c r="D11" s="23">
        <f>'Files per year'!D11*'ZF size'!D11/1000000000</f>
        <v>1875</v>
      </c>
      <c r="E11" s="23">
        <f>'Files per year'!E11*'ZF size'!E11/1000000000</f>
        <v>37500</v>
      </c>
      <c r="F11" s="23">
        <f>'Files per year'!F11*'ZF size'!F11/1000000000</f>
        <v>150000</v>
      </c>
      <c r="G11" s="23">
        <f>SUM(C11:F11)</f>
        <v>189750</v>
      </c>
      <c r="H11" s="32"/>
      <c r="I11" s="20">
        <f>IF($L$30="Diffs file",G11*$K$14,G11)</f>
        <v>569.25</v>
      </c>
      <c r="K11" s="38" t="s">
        <v>76</v>
      </c>
      <c r="L11" s="42">
        <f>L8/L9</f>
        <v>0.0030386417050228924</v>
      </c>
      <c r="M11" s="42">
        <f>M8/M9</f>
        <v>0.0027040861384719267</v>
      </c>
      <c r="N11" s="42">
        <f>N8/N9</f>
        <v>0.001205086295259994</v>
      </c>
    </row>
    <row r="12" spans="1:9" ht="13.5" customHeight="1">
      <c r="A12" s="2"/>
      <c r="B12" s="12"/>
      <c r="C12" s="23"/>
      <c r="D12" s="23"/>
      <c r="E12" s="23"/>
      <c r="F12" s="23"/>
      <c r="G12" s="23"/>
      <c r="H12" s="32"/>
      <c r="I12" s="12"/>
    </row>
    <row r="13" spans="1:11" ht="13.5" customHeight="1">
      <c r="A13" s="3" t="s">
        <v>109</v>
      </c>
      <c r="B13" s="12"/>
      <c r="C13" s="23"/>
      <c r="D13" s="23"/>
      <c r="E13" s="23"/>
      <c r="F13" s="23"/>
      <c r="G13" s="23"/>
      <c r="H13" s="32"/>
      <c r="I13" s="12"/>
      <c r="K13" s="38" t="s">
        <v>154</v>
      </c>
    </row>
    <row r="14" spans="1:11" ht="13.5" customHeight="1">
      <c r="A14" s="2" t="s">
        <v>19</v>
      </c>
      <c r="B14" s="6"/>
      <c r="C14" s="23">
        <f>'Files per year'!C14*'ZF size'!C14/1000000000</f>
        <v>1</v>
      </c>
      <c r="D14" s="23">
        <f>'Files per year'!D14*'ZF size'!D14/1000000000</f>
        <v>75</v>
      </c>
      <c r="E14" s="23">
        <f>'Files per year'!E14*'ZF size'!E14/1000000000</f>
        <v>2250</v>
      </c>
      <c r="F14" s="23">
        <f>'Files per year'!F14*'ZF size'!F14/1000000000</f>
        <v>26250</v>
      </c>
      <c r="G14" s="23">
        <f>SUM(C14:F14)</f>
        <v>28576</v>
      </c>
      <c r="H14" s="32"/>
      <c r="I14" s="20">
        <f>IF($L$30="Diffs file",G14*$K$14,G14)</f>
        <v>85.72800000000001</v>
      </c>
      <c r="K14" s="43">
        <v>0.003</v>
      </c>
    </row>
    <row r="15" spans="1:9" ht="13.5" customHeight="1">
      <c r="A15" s="2" t="s">
        <v>108</v>
      </c>
      <c r="B15" s="6"/>
      <c r="C15" s="23">
        <f>'Files per year'!C15*'ZF size'!C15/1000000000</f>
        <v>781.25</v>
      </c>
      <c r="D15" s="23">
        <f>'Files per year'!D15*'ZF size'!D15/1000000000</f>
        <v>7812.5</v>
      </c>
      <c r="E15" s="23">
        <f>'Files per year'!E15*'ZF size'!E15/1000000000</f>
        <v>46875</v>
      </c>
      <c r="F15" s="23">
        <f>'Files per year'!F15*'ZF size'!F15/1000000000</f>
        <v>125000</v>
      </c>
      <c r="G15" s="23">
        <f>SUM(C15:F15)</f>
        <v>180468.75</v>
      </c>
      <c r="H15" s="32"/>
      <c r="I15" s="20">
        <f>IF($L$30="Diffs file",G15*$K$14,G15)</f>
        <v>541.40625</v>
      </c>
    </row>
    <row r="16" spans="1:11" ht="13.5" customHeight="1">
      <c r="A16" s="2"/>
      <c r="B16" s="12"/>
      <c r="C16" s="23"/>
      <c r="D16" s="23"/>
      <c r="E16" s="23"/>
      <c r="F16" s="23"/>
      <c r="G16" s="23"/>
      <c r="H16" s="32"/>
      <c r="I16" s="12"/>
      <c r="K16" t="s">
        <v>140</v>
      </c>
    </row>
    <row r="17" spans="1:11" ht="13.5" customHeight="1">
      <c r="A17" s="3" t="s">
        <v>110</v>
      </c>
      <c r="B17" s="12"/>
      <c r="C17" s="23"/>
      <c r="D17" s="23"/>
      <c r="E17" s="23"/>
      <c r="F17" s="23"/>
      <c r="G17" s="23"/>
      <c r="H17" s="32"/>
      <c r="I17" s="12"/>
      <c r="K17" t="s">
        <v>141</v>
      </c>
    </row>
    <row r="18" spans="1:11" ht="13.5" customHeight="1">
      <c r="A18" s="2" t="s">
        <v>19</v>
      </c>
      <c r="B18" s="6"/>
      <c r="C18" s="23">
        <f>'Files per year'!C18*'ZF size'!C18/1000000000</f>
        <v>1.46</v>
      </c>
      <c r="D18" s="23">
        <f>'Files per year'!D18*'ZF size'!D18/1000000000</f>
        <v>164.25</v>
      </c>
      <c r="E18" s="23">
        <f>'Files per year'!E18*'ZF size'!E18/1000000000</f>
        <v>2190</v>
      </c>
      <c r="F18" s="23">
        <f>'Files per year'!F18*'ZF size'!F18/1000000000</f>
        <v>19162.5</v>
      </c>
      <c r="G18" s="23">
        <f>SUM(C18:F18)</f>
        <v>21518.21</v>
      </c>
      <c r="H18" s="32"/>
      <c r="I18" s="20">
        <f>IF($L$30="Diffs file",G18*$K$14,G18)</f>
        <v>64.55463</v>
      </c>
      <c r="K18" t="s">
        <v>142</v>
      </c>
    </row>
    <row r="19" spans="1:9" ht="13.5" customHeight="1">
      <c r="A19" s="2" t="s">
        <v>108</v>
      </c>
      <c r="B19" s="6"/>
      <c r="C19" s="23">
        <f>'Files per year'!C19*'ZF size'!C19/1000000000</f>
        <v>1140.625</v>
      </c>
      <c r="D19" s="23">
        <f>'Files per year'!D19*'ZF size'!D19/1000000000</f>
        <v>17109.375</v>
      </c>
      <c r="E19" s="23">
        <f>'Files per year'!E19*'ZF size'!E19/1000000000</f>
        <v>45625</v>
      </c>
      <c r="F19" s="23">
        <f>'Files per year'!F19*'ZF size'!F19/1000000000</f>
        <v>91250</v>
      </c>
      <c r="G19" s="23">
        <f>SUM(C19:F19)</f>
        <v>155125</v>
      </c>
      <c r="H19" s="31"/>
      <c r="I19" s="20">
        <f>IF($L$30="Diffs file",G19*$K$14,G19)</f>
        <v>465.375</v>
      </c>
    </row>
    <row r="20" spans="1:14" ht="13.5" customHeight="1">
      <c r="A20" s="2"/>
      <c r="B20" s="12"/>
      <c r="C20" s="24"/>
      <c r="D20" s="24"/>
      <c r="E20" s="24"/>
      <c r="F20" s="24"/>
      <c r="G20" s="23"/>
      <c r="H20" s="32"/>
      <c r="I20" s="12"/>
      <c r="K20" s="52"/>
      <c r="L20" s="52"/>
      <c r="M20" s="52"/>
      <c r="N20" s="52"/>
    </row>
    <row r="21" spans="1:11" ht="13.5" customHeight="1">
      <c r="A21" s="3" t="s">
        <v>120</v>
      </c>
      <c r="B21" s="12"/>
      <c r="C21" s="23"/>
      <c r="D21" s="23"/>
      <c r="E21" s="23"/>
      <c r="F21" s="23"/>
      <c r="G21" s="23"/>
      <c r="H21" s="32"/>
      <c r="I21" s="12"/>
      <c r="K21" s="38" t="s">
        <v>94</v>
      </c>
    </row>
    <row r="22" spans="1:9" ht="13.5" customHeight="1">
      <c r="A22" s="2" t="s">
        <v>19</v>
      </c>
      <c r="B22" s="6"/>
      <c r="C22" s="23">
        <f>C10+C14+C18</f>
        <v>2.86</v>
      </c>
      <c r="D22" s="23">
        <f aca="true" t="shared" si="0" ref="D22:F23">D10+D14+D18</f>
        <v>254.25</v>
      </c>
      <c r="E22" s="23">
        <f t="shared" si="0"/>
        <v>5940</v>
      </c>
      <c r="F22" s="23">
        <f t="shared" si="0"/>
        <v>71662.5</v>
      </c>
      <c r="G22" s="47">
        <f>SUM(C22:F22)</f>
        <v>77859.61</v>
      </c>
      <c r="H22" s="32"/>
      <c r="I22" s="20">
        <f>IF($L$30="Diffs file",G22*$K$14,G22)</f>
        <v>233.57883</v>
      </c>
    </row>
    <row r="23" spans="1:11" ht="13.5" customHeight="1">
      <c r="A23" s="2" t="s">
        <v>108</v>
      </c>
      <c r="B23" s="6"/>
      <c r="C23" s="23">
        <f>C11+C15+C19</f>
        <v>2296.875</v>
      </c>
      <c r="D23" s="23">
        <f t="shared" si="0"/>
        <v>26796.875</v>
      </c>
      <c r="E23" s="23">
        <f t="shared" si="0"/>
        <v>130000</v>
      </c>
      <c r="F23" s="23">
        <f t="shared" si="0"/>
        <v>366250</v>
      </c>
      <c r="G23" s="47">
        <f>SUM(C23:F23)</f>
        <v>525343.75</v>
      </c>
      <c r="H23" s="45"/>
      <c r="I23" s="20">
        <f>IF($L$30="Diffs file",G23*$K$14,G23)</f>
        <v>1576.03125</v>
      </c>
      <c r="K23" t="s">
        <v>95</v>
      </c>
    </row>
    <row r="24" spans="1:11" ht="13.5" customHeight="1">
      <c r="A24" s="29"/>
      <c r="B24" s="44"/>
      <c r="C24" s="44"/>
      <c r="D24" s="44"/>
      <c r="E24" s="44"/>
      <c r="F24" s="44"/>
      <c r="G24" s="44"/>
      <c r="H24" s="46"/>
      <c r="I24" s="12"/>
      <c r="K24" t="s">
        <v>96</v>
      </c>
    </row>
    <row r="25" spans="1:11" ht="13.5" customHeight="1">
      <c r="A25" s="88" t="s">
        <v>99</v>
      </c>
      <c r="B25" s="88"/>
      <c r="C25" s="88"/>
      <c r="D25" s="88"/>
      <c r="E25" s="12"/>
      <c r="F25" s="12"/>
      <c r="G25" s="12"/>
      <c r="H25" s="7"/>
      <c r="I25" s="12"/>
      <c r="K25" t="s">
        <v>97</v>
      </c>
    </row>
    <row r="26" spans="1:11" ht="13.5" customHeight="1">
      <c r="A26" s="2" t="s">
        <v>117</v>
      </c>
      <c r="B26" s="6"/>
      <c r="C26" s="23">
        <f>'Files per year'!C26*'ZF size'!C26/1000000000</f>
        <v>0.146</v>
      </c>
      <c r="D26" s="23">
        <f>'Files per year'!D26*'ZF size'!D26/1000000000</f>
        <v>2.19</v>
      </c>
      <c r="E26" s="23">
        <f>'Files per year'!E26*'ZF size'!E26/1000000000</f>
        <v>21.9</v>
      </c>
      <c r="F26" s="23">
        <f>'Files per year'!F26*'ZF size'!F26/1000000000</f>
        <v>191.625</v>
      </c>
      <c r="G26" s="8">
        <f>SUM(C26:F26)</f>
        <v>215.861</v>
      </c>
      <c r="H26" s="7"/>
      <c r="I26" s="49">
        <f>I22+G26</f>
        <v>449.43983000000003</v>
      </c>
      <c r="K26" t="s">
        <v>179</v>
      </c>
    </row>
    <row r="27" spans="1:11" ht="13.5" customHeight="1">
      <c r="A27" s="2" t="s">
        <v>118</v>
      </c>
      <c r="B27" s="6"/>
      <c r="C27" s="23">
        <f>'Files per year'!C27*'ZF size'!C27/1000000000</f>
        <v>45.625</v>
      </c>
      <c r="D27" s="23">
        <f>'Files per year'!D27*'ZF size'!D27/1000000000</f>
        <v>91.25</v>
      </c>
      <c r="E27" s="23">
        <f>'Files per year'!E27*'ZF size'!E27/1000000000</f>
        <v>182.5</v>
      </c>
      <c r="F27" s="23">
        <f>'Files per year'!F27*'ZF size'!F27/1000000000</f>
        <v>365</v>
      </c>
      <c r="G27" s="8">
        <f>SUM(C27:F27)</f>
        <v>684.375</v>
      </c>
      <c r="H27" s="7"/>
      <c r="I27" s="49">
        <f>I23+G27</f>
        <v>2260.40625</v>
      </c>
      <c r="K27" t="s">
        <v>180</v>
      </c>
    </row>
    <row r="29" ht="13.5" customHeight="1">
      <c r="K29" t="s">
        <v>185</v>
      </c>
    </row>
    <row r="30" spans="1:12" ht="13.5" customHeight="1">
      <c r="A30" s="13" t="s">
        <v>156</v>
      </c>
      <c r="K30" t="s">
        <v>181</v>
      </c>
      <c r="L30" s="57" t="s">
        <v>183</v>
      </c>
    </row>
    <row r="32" spans="1:9" ht="13.5" customHeight="1">
      <c r="A32" s="6"/>
      <c r="B32" s="4" t="s">
        <v>114</v>
      </c>
      <c r="C32" s="4" t="s">
        <v>107</v>
      </c>
      <c r="D32" s="4" t="s">
        <v>109</v>
      </c>
      <c r="E32" s="4" t="s">
        <v>110</v>
      </c>
      <c r="F32" s="4" t="s">
        <v>30</v>
      </c>
      <c r="G32" s="4" t="s">
        <v>116</v>
      </c>
      <c r="H32" s="6"/>
      <c r="I32" s="10" t="s">
        <v>192</v>
      </c>
    </row>
    <row r="33" spans="1:11" ht="13.5" customHeight="1">
      <c r="A33" s="6"/>
      <c r="B33" s="6"/>
      <c r="C33" s="22"/>
      <c r="D33" s="22"/>
      <c r="E33" s="22"/>
      <c r="F33" s="22"/>
      <c r="G33" s="6"/>
      <c r="H33" s="6"/>
      <c r="I33" s="27" t="s">
        <v>100</v>
      </c>
      <c r="K33" s="38" t="s">
        <v>66</v>
      </c>
    </row>
    <row r="34" spans="1:11" ht="13.5" customHeight="1">
      <c r="A34" s="2"/>
      <c r="B34" s="6"/>
      <c r="C34" s="22"/>
      <c r="D34" s="22"/>
      <c r="E34" s="22"/>
      <c r="F34" s="22"/>
      <c r="G34" s="6"/>
      <c r="H34" s="6"/>
      <c r="I34" s="27" t="s">
        <v>101</v>
      </c>
      <c r="K34" s="38"/>
    </row>
    <row r="35" spans="1:11" ht="13.5" customHeight="1">
      <c r="A35" s="2"/>
      <c r="B35" s="9"/>
      <c r="C35" s="6"/>
      <c r="D35" s="6"/>
      <c r="E35" s="6"/>
      <c r="F35" s="6"/>
      <c r="G35" s="6"/>
      <c r="H35" s="6"/>
      <c r="I35" s="27" t="s">
        <v>102</v>
      </c>
      <c r="K35" s="38" t="s">
        <v>65</v>
      </c>
    </row>
    <row r="36" spans="1:11" ht="13.5" customHeight="1">
      <c r="A36" s="18" t="s">
        <v>20</v>
      </c>
      <c r="B36" s="9"/>
      <c r="C36" s="12"/>
      <c r="D36" s="12"/>
      <c r="E36" s="12"/>
      <c r="F36" s="12"/>
      <c r="G36" s="6"/>
      <c r="H36" s="6"/>
      <c r="I36" s="12"/>
      <c r="K36" s="38" t="s">
        <v>17</v>
      </c>
    </row>
    <row r="37" spans="1:9" ht="13.5" customHeight="1">
      <c r="A37" s="3" t="s">
        <v>107</v>
      </c>
      <c r="B37" s="12"/>
      <c r="C37" s="11"/>
      <c r="D37" s="11"/>
      <c r="E37" s="11"/>
      <c r="F37" s="11"/>
      <c r="G37" s="6"/>
      <c r="H37" s="8"/>
      <c r="I37" s="12"/>
    </row>
    <row r="38" spans="1:9" ht="13.5" customHeight="1">
      <c r="A38" s="2" t="s">
        <v>121</v>
      </c>
      <c r="B38" s="12"/>
      <c r="C38" s="35">
        <f>C10/Subscriptions!$B10</f>
        <v>0.0008</v>
      </c>
      <c r="D38" s="35">
        <f>D10/Subscriptions!$B10</f>
        <v>0.030000000000000006</v>
      </c>
      <c r="E38" s="35">
        <f>E10/Subscriptions!$B10</f>
        <v>3</v>
      </c>
      <c r="F38" s="35">
        <f>F10/Subscriptions!$B10</f>
        <v>52.5</v>
      </c>
      <c r="G38" s="47">
        <f>SUM(C38:F38)</f>
        <v>55.5308</v>
      </c>
      <c r="H38" s="8"/>
      <c r="I38" s="70">
        <f>IF($L$30="Diffs file",G38*$K$14,G38)</f>
        <v>0.1665924</v>
      </c>
    </row>
    <row r="39" spans="1:9" ht="13.5" customHeight="1">
      <c r="A39" s="2" t="s">
        <v>118</v>
      </c>
      <c r="B39" s="12"/>
      <c r="C39" s="35">
        <f>C11/Subscriptions!$B11</f>
        <v>0.25</v>
      </c>
      <c r="D39" s="35">
        <f>D11/Subscriptions!$B11</f>
        <v>1.25</v>
      </c>
      <c r="E39" s="35">
        <f>E11/Subscriptions!$B11</f>
        <v>25</v>
      </c>
      <c r="F39" s="35">
        <f>F11/Subscriptions!$B11</f>
        <v>100</v>
      </c>
      <c r="G39" s="47">
        <f>SUM(C39:F39)</f>
        <v>126.5</v>
      </c>
      <c r="H39" s="8"/>
      <c r="I39" s="70">
        <f>IF($L$30="Diffs file",G39*$K$14,G39)</f>
        <v>0.3795</v>
      </c>
    </row>
    <row r="40" spans="1:9" ht="13.5" customHeight="1">
      <c r="A40" s="2"/>
      <c r="B40" s="12"/>
      <c r="C40" s="23"/>
      <c r="D40" s="23"/>
      <c r="E40" s="23"/>
      <c r="F40" s="23"/>
      <c r="G40" s="36"/>
      <c r="H40" s="8"/>
      <c r="I40" s="12"/>
    </row>
    <row r="41" spans="1:9" ht="13.5" customHeight="1">
      <c r="A41" s="3" t="s">
        <v>109</v>
      </c>
      <c r="B41" s="12"/>
      <c r="C41" s="23"/>
      <c r="D41" s="23"/>
      <c r="E41" s="23"/>
      <c r="F41" s="23"/>
      <c r="G41" s="36"/>
      <c r="H41" s="8"/>
      <c r="I41" s="12"/>
    </row>
    <row r="42" spans="1:9" ht="13.5" customHeight="1">
      <c r="A42" s="2" t="s">
        <v>19</v>
      </c>
      <c r="B42" s="6"/>
      <c r="C42" s="35">
        <f>C14/Subscriptions!$B14</f>
        <v>0.005</v>
      </c>
      <c r="D42" s="35">
        <f>D14/Subscriptions!$B14</f>
        <v>0.375</v>
      </c>
      <c r="E42" s="35">
        <f>E14/Subscriptions!$B14</f>
        <v>11.25</v>
      </c>
      <c r="F42" s="35">
        <f>F14/Subscriptions!$B14</f>
        <v>131.25</v>
      </c>
      <c r="G42" s="47">
        <f>SUM(C42:F42)</f>
        <v>142.88</v>
      </c>
      <c r="H42" s="8"/>
      <c r="I42" s="70">
        <f>IF($L$30="Diffs file",G42*$K$14,G42)</f>
        <v>0.42864</v>
      </c>
    </row>
    <row r="43" spans="1:9" ht="13.5" customHeight="1">
      <c r="A43" s="2" t="s">
        <v>108</v>
      </c>
      <c r="B43" s="6"/>
      <c r="C43" s="35">
        <f>C15/Subscriptions!$B15</f>
        <v>1.5625</v>
      </c>
      <c r="D43" s="35">
        <f>D15/Subscriptions!$B15</f>
        <v>15.625</v>
      </c>
      <c r="E43" s="35">
        <f>E15/Subscriptions!$B15</f>
        <v>93.75</v>
      </c>
      <c r="F43" s="35">
        <f>F15/Subscriptions!$B15</f>
        <v>250</v>
      </c>
      <c r="G43" s="47">
        <f>SUM(C43:F43)</f>
        <v>360.9375</v>
      </c>
      <c r="H43" s="8"/>
      <c r="I43" s="70">
        <f>IF($L$30="Diffs file",G43*$K$14,G43)</f>
        <v>1.0828125</v>
      </c>
    </row>
    <row r="44" spans="1:9" ht="13.5" customHeight="1">
      <c r="A44" s="2"/>
      <c r="B44" s="12"/>
      <c r="C44" s="23"/>
      <c r="D44" s="23"/>
      <c r="E44" s="23"/>
      <c r="F44" s="23"/>
      <c r="G44" s="36"/>
      <c r="H44" s="8"/>
      <c r="I44" s="12"/>
    </row>
    <row r="45" spans="1:9" ht="13.5" customHeight="1">
      <c r="A45" s="3" t="s">
        <v>110</v>
      </c>
      <c r="B45" s="12"/>
      <c r="C45" s="23"/>
      <c r="D45" s="23"/>
      <c r="E45" s="23"/>
      <c r="F45" s="23"/>
      <c r="G45" s="36"/>
      <c r="H45" s="8"/>
      <c r="I45" s="12"/>
    </row>
    <row r="46" spans="1:9" ht="13.5" customHeight="1">
      <c r="A46" s="2" t="s">
        <v>19</v>
      </c>
      <c r="B46" s="6"/>
      <c r="C46" s="35">
        <f>C18/Subscriptions!$B18</f>
        <v>0.0146</v>
      </c>
      <c r="D46" s="35">
        <f>D18/Subscriptions!$B18</f>
        <v>1.6425</v>
      </c>
      <c r="E46" s="35">
        <f>E18/Subscriptions!$B18</f>
        <v>21.9</v>
      </c>
      <c r="F46" s="35">
        <f>F18/Subscriptions!$B18</f>
        <v>191.625</v>
      </c>
      <c r="G46" s="47">
        <f>SUM(C46:F46)</f>
        <v>215.1821</v>
      </c>
      <c r="H46" s="8"/>
      <c r="I46" s="70">
        <f>IF($L$30="Diffs file",G46*$K$14,G46)</f>
        <v>0.6455463</v>
      </c>
    </row>
    <row r="47" spans="1:9" ht="13.5" customHeight="1">
      <c r="A47" s="2" t="s">
        <v>108</v>
      </c>
      <c r="B47" s="6"/>
      <c r="C47" s="35">
        <f>C19/Subscriptions!$B19</f>
        <v>4.5625</v>
      </c>
      <c r="D47" s="35">
        <f>D19/Subscriptions!$B19</f>
        <v>68.4375</v>
      </c>
      <c r="E47" s="35">
        <f>E19/Subscriptions!$B19</f>
        <v>182.5</v>
      </c>
      <c r="F47" s="35">
        <f>F19/Subscriptions!$B19</f>
        <v>365</v>
      </c>
      <c r="G47" s="47">
        <f>SUM(C47:F47)</f>
        <v>620.5</v>
      </c>
      <c r="H47" s="6"/>
      <c r="I47" s="70">
        <f>IF($L$30="Diffs file",G47*$K$14,G47)</f>
        <v>1.8615</v>
      </c>
    </row>
    <row r="48" spans="1:9" ht="13.5" customHeight="1">
      <c r="A48" s="2"/>
      <c r="B48" s="12"/>
      <c r="C48" s="24"/>
      <c r="D48" s="24"/>
      <c r="E48" s="24"/>
      <c r="F48" s="24"/>
      <c r="G48" s="23"/>
      <c r="H48" s="8"/>
      <c r="I48" s="12"/>
    </row>
    <row r="49" spans="1:9" ht="13.5" customHeight="1">
      <c r="A49" s="3" t="s">
        <v>120</v>
      </c>
      <c r="B49" s="12"/>
      <c r="C49" s="23"/>
      <c r="D49" s="23"/>
      <c r="E49" s="23"/>
      <c r="F49" s="23"/>
      <c r="G49" s="12"/>
      <c r="H49" s="8"/>
      <c r="I49" s="12"/>
    </row>
    <row r="50" spans="1:9" ht="13.5" customHeight="1">
      <c r="A50" s="2" t="s">
        <v>19</v>
      </c>
      <c r="B50" s="6"/>
      <c r="C50" s="23"/>
      <c r="D50" s="23"/>
      <c r="E50" s="23"/>
      <c r="F50" s="23"/>
      <c r="G50" s="12"/>
      <c r="H50" s="8"/>
      <c r="I50" s="8"/>
    </row>
    <row r="51" spans="1:9" ht="13.5" customHeight="1">
      <c r="A51" s="2" t="s">
        <v>108</v>
      </c>
      <c r="B51" s="6"/>
      <c r="C51" s="23"/>
      <c r="D51" s="23"/>
      <c r="E51" s="23"/>
      <c r="F51" s="23"/>
      <c r="G51" s="12"/>
      <c r="H51" s="7"/>
      <c r="I51" s="8"/>
    </row>
    <row r="52" spans="1:9" ht="13.5" customHeight="1">
      <c r="A52" s="2"/>
      <c r="B52" s="12"/>
      <c r="C52" s="12"/>
      <c r="D52" s="12"/>
      <c r="E52" s="12"/>
      <c r="F52" s="12"/>
      <c r="G52" s="12"/>
      <c r="H52" s="7"/>
      <c r="I52" s="12"/>
    </row>
    <row r="53" spans="1:9" ht="13.5" customHeight="1">
      <c r="A53" s="3" t="s">
        <v>119</v>
      </c>
      <c r="B53" s="12"/>
      <c r="C53" s="12"/>
      <c r="D53" s="12"/>
      <c r="E53" s="12"/>
      <c r="F53" s="12"/>
      <c r="G53" s="12"/>
      <c r="H53" s="7"/>
      <c r="I53" s="12"/>
    </row>
    <row r="54" spans="1:9" ht="13.5" customHeight="1">
      <c r="A54" s="2" t="s">
        <v>117</v>
      </c>
      <c r="B54" s="6"/>
      <c r="C54" s="8"/>
      <c r="D54" s="8"/>
      <c r="E54" s="8"/>
      <c r="F54" s="8"/>
      <c r="G54" s="8"/>
      <c r="H54" s="7"/>
      <c r="I54" s="20"/>
    </row>
    <row r="55" spans="1:9" ht="13.5" customHeight="1">
      <c r="A55" s="2" t="s">
        <v>118</v>
      </c>
      <c r="B55" s="6"/>
      <c r="C55" s="8"/>
      <c r="D55" s="8"/>
      <c r="E55" s="8"/>
      <c r="F55" s="8"/>
      <c r="G55" s="8"/>
      <c r="H55" s="7"/>
      <c r="I55" s="20"/>
    </row>
    <row r="58" ht="13.5" customHeight="1">
      <c r="A58" s="13" t="s">
        <v>155</v>
      </c>
    </row>
    <row r="60" spans="1:9" ht="13.5" customHeight="1">
      <c r="A60" s="6"/>
      <c r="B60" s="4" t="s">
        <v>114</v>
      </c>
      <c r="C60" s="4" t="s">
        <v>107</v>
      </c>
      <c r="D60" s="4" t="s">
        <v>109</v>
      </c>
      <c r="E60" s="4" t="s">
        <v>110</v>
      </c>
      <c r="F60" s="4" t="s">
        <v>30</v>
      </c>
      <c r="G60" s="4" t="s">
        <v>116</v>
      </c>
      <c r="H60" s="6"/>
      <c r="I60" s="10" t="s">
        <v>192</v>
      </c>
    </row>
    <row r="61" spans="1:9" ht="13.5" customHeight="1">
      <c r="A61" s="6"/>
      <c r="B61" s="6"/>
      <c r="C61" s="22"/>
      <c r="D61" s="22"/>
      <c r="E61" s="22"/>
      <c r="F61" s="22"/>
      <c r="G61" s="6"/>
      <c r="H61" s="6"/>
      <c r="I61" s="27" t="s">
        <v>100</v>
      </c>
    </row>
    <row r="62" spans="1:9" ht="13.5" customHeight="1">
      <c r="A62" s="2"/>
      <c r="B62" s="6"/>
      <c r="C62" s="22"/>
      <c r="D62" s="22"/>
      <c r="E62" s="22"/>
      <c r="F62" s="22"/>
      <c r="G62" s="6"/>
      <c r="H62" s="6"/>
      <c r="I62" s="27" t="s">
        <v>101</v>
      </c>
    </row>
    <row r="63" spans="1:9" ht="13.5" customHeight="1">
      <c r="A63" s="2"/>
      <c r="B63" s="9"/>
      <c r="C63" s="6"/>
      <c r="D63" s="6"/>
      <c r="E63" s="6"/>
      <c r="F63" s="6"/>
      <c r="G63" s="6"/>
      <c r="H63" s="6"/>
      <c r="I63" s="27" t="s">
        <v>102</v>
      </c>
    </row>
    <row r="64" spans="1:9" ht="13.5" customHeight="1">
      <c r="A64" s="18" t="s">
        <v>20</v>
      </c>
      <c r="B64" s="9"/>
      <c r="C64" s="12"/>
      <c r="D64" s="12"/>
      <c r="E64" s="12"/>
      <c r="F64" s="12"/>
      <c r="G64" s="6"/>
      <c r="H64" s="6"/>
      <c r="I64" s="12"/>
    </row>
    <row r="65" spans="1:9" ht="13.5" customHeight="1">
      <c r="A65" s="3" t="s">
        <v>107</v>
      </c>
      <c r="B65" s="12"/>
      <c r="C65" s="11"/>
      <c r="D65" s="11"/>
      <c r="E65" s="11"/>
      <c r="F65" s="11"/>
      <c r="G65" s="6"/>
      <c r="H65" s="8"/>
      <c r="I65" s="12"/>
    </row>
    <row r="66" spans="1:9" ht="13.5" customHeight="1">
      <c r="A66" s="2" t="s">
        <v>121</v>
      </c>
      <c r="B66" s="12"/>
      <c r="C66" s="35">
        <f>C10/Subscriptions!C$5</f>
        <v>0.1</v>
      </c>
      <c r="D66" s="35">
        <f>D10/Subscriptions!D$5</f>
        <v>2.5000000000000004</v>
      </c>
      <c r="E66" s="35">
        <f>E10/Subscriptions!E$5</f>
        <v>500</v>
      </c>
      <c r="F66" s="35">
        <f>F10/Subscriptions!F$5</f>
        <v>26250</v>
      </c>
      <c r="G66" s="23"/>
      <c r="H66" s="8"/>
      <c r="I66" s="20"/>
    </row>
    <row r="67" spans="1:9" ht="13.5" customHeight="1">
      <c r="A67" s="2" t="s">
        <v>118</v>
      </c>
      <c r="B67" s="12"/>
      <c r="C67" s="35">
        <f>C11/Subscriptions!C$6</f>
        <v>0.75</v>
      </c>
      <c r="D67" s="35">
        <f>D11/Subscriptions!D$6</f>
        <v>18.75</v>
      </c>
      <c r="E67" s="35">
        <f>E11/Subscriptions!E$6</f>
        <v>3750</v>
      </c>
      <c r="F67" s="35">
        <f>F11/Subscriptions!F$6</f>
        <v>150000</v>
      </c>
      <c r="G67" s="23"/>
      <c r="H67" s="8"/>
      <c r="I67" s="20"/>
    </row>
    <row r="68" spans="1:9" ht="13.5" customHeight="1">
      <c r="A68" s="2"/>
      <c r="B68" s="12"/>
      <c r="C68" s="23"/>
      <c r="D68" s="23"/>
      <c r="E68" s="23"/>
      <c r="F68" s="23"/>
      <c r="G68" s="23"/>
      <c r="H68" s="8"/>
      <c r="I68" s="12"/>
    </row>
    <row r="69" spans="1:9" ht="13.5" customHeight="1">
      <c r="A69" s="3" t="s">
        <v>109</v>
      </c>
      <c r="B69" s="12"/>
      <c r="C69" s="23"/>
      <c r="D69" s="23"/>
      <c r="E69" s="23"/>
      <c r="F69" s="23"/>
      <c r="G69" s="23"/>
      <c r="H69" s="8"/>
      <c r="I69" s="12"/>
    </row>
    <row r="70" spans="1:9" ht="13.5" customHeight="1">
      <c r="A70" s="2" t="s">
        <v>19</v>
      </c>
      <c r="B70" s="6"/>
      <c r="C70" s="35">
        <f>C14/Subscriptions!C$5</f>
        <v>0.25</v>
      </c>
      <c r="D70" s="35">
        <f>D14/Subscriptions!D$5</f>
        <v>12.5</v>
      </c>
      <c r="E70" s="35">
        <f>E14/Subscriptions!E$5</f>
        <v>750</v>
      </c>
      <c r="F70" s="35">
        <f>F14/Subscriptions!F$5</f>
        <v>26250</v>
      </c>
      <c r="G70" s="23"/>
      <c r="H70" s="8"/>
      <c r="I70" s="20"/>
    </row>
    <row r="71" spans="1:9" ht="13.5" customHeight="1">
      <c r="A71" s="2" t="s">
        <v>108</v>
      </c>
      <c r="B71" s="6"/>
      <c r="C71" s="35">
        <f>C15/Subscriptions!C$6</f>
        <v>1.5625</v>
      </c>
      <c r="D71" s="35">
        <f>D15/Subscriptions!D$6</f>
        <v>78.125</v>
      </c>
      <c r="E71" s="35">
        <f>E15/Subscriptions!E$6</f>
        <v>4687.5</v>
      </c>
      <c r="F71" s="35">
        <f>F15/Subscriptions!F$6</f>
        <v>125000</v>
      </c>
      <c r="G71" s="23"/>
      <c r="H71" s="8"/>
      <c r="I71" s="20"/>
    </row>
    <row r="72" spans="1:9" ht="13.5" customHeight="1">
      <c r="A72" s="2"/>
      <c r="B72" s="12"/>
      <c r="C72" s="23"/>
      <c r="D72" s="23"/>
      <c r="E72" s="23"/>
      <c r="F72" s="23"/>
      <c r="G72" s="23"/>
      <c r="H72" s="8"/>
      <c r="I72" s="12"/>
    </row>
    <row r="73" spans="1:9" ht="13.5" customHeight="1">
      <c r="A73" s="3" t="s">
        <v>110</v>
      </c>
      <c r="B73" s="12"/>
      <c r="C73" s="23"/>
      <c r="D73" s="23"/>
      <c r="E73" s="23"/>
      <c r="F73" s="23"/>
      <c r="G73" s="23"/>
      <c r="H73" s="8"/>
      <c r="I73" s="12"/>
    </row>
    <row r="74" spans="1:9" ht="13.5" customHeight="1">
      <c r="A74" s="2" t="s">
        <v>19</v>
      </c>
      <c r="B74" s="6"/>
      <c r="C74" s="35">
        <f>C18/Subscriptions!C$5</f>
        <v>0.365</v>
      </c>
      <c r="D74" s="35">
        <f>D18/Subscriptions!D$5</f>
        <v>27.375</v>
      </c>
      <c r="E74" s="35">
        <f>E18/Subscriptions!E$5</f>
        <v>730</v>
      </c>
      <c r="F74" s="35">
        <f>F18/Subscriptions!F$5</f>
        <v>19162.5</v>
      </c>
      <c r="G74" s="23"/>
      <c r="H74" s="8"/>
      <c r="I74" s="20"/>
    </row>
    <row r="75" spans="1:9" ht="13.5" customHeight="1">
      <c r="A75" s="2" t="s">
        <v>108</v>
      </c>
      <c r="B75" s="6"/>
      <c r="C75" s="35">
        <f>C19/Subscriptions!C$6</f>
        <v>2.28125</v>
      </c>
      <c r="D75" s="35">
        <f>D19/Subscriptions!D$6</f>
        <v>171.09375</v>
      </c>
      <c r="E75" s="35">
        <f>E19/Subscriptions!E$6</f>
        <v>4562.5</v>
      </c>
      <c r="F75" s="35">
        <f>F19/Subscriptions!F$6</f>
        <v>91250</v>
      </c>
      <c r="G75" s="23"/>
      <c r="H75" s="6"/>
      <c r="I75" s="20"/>
    </row>
    <row r="76" spans="1:9" ht="13.5" customHeight="1">
      <c r="A76" s="2"/>
      <c r="B76" s="12"/>
      <c r="C76" s="24"/>
      <c r="D76" s="24"/>
      <c r="E76" s="24"/>
      <c r="F76" s="24"/>
      <c r="G76" s="23"/>
      <c r="H76" s="8"/>
      <c r="I76" s="12"/>
    </row>
    <row r="77" spans="1:9" ht="13.5" customHeight="1">
      <c r="A77" s="3" t="s">
        <v>120</v>
      </c>
      <c r="B77" s="12"/>
      <c r="C77" s="23"/>
      <c r="D77" s="23"/>
      <c r="E77" s="23"/>
      <c r="F77" s="23"/>
      <c r="G77" s="23"/>
      <c r="H77" s="8"/>
      <c r="I77" s="12"/>
    </row>
    <row r="78" spans="1:9" ht="13.5" customHeight="1">
      <c r="A78" s="2" t="s">
        <v>19</v>
      </c>
      <c r="B78" s="6"/>
      <c r="C78" s="47">
        <f aca="true" t="shared" si="1" ref="C78:F79">C66+C70+C74</f>
        <v>0.715</v>
      </c>
      <c r="D78" s="47">
        <f t="shared" si="1"/>
        <v>42.375</v>
      </c>
      <c r="E78" s="47">
        <f t="shared" si="1"/>
        <v>1980</v>
      </c>
      <c r="F78" s="47">
        <f t="shared" si="1"/>
        <v>71662.5</v>
      </c>
      <c r="G78" s="23"/>
      <c r="H78" s="8"/>
      <c r="I78" s="8"/>
    </row>
    <row r="79" spans="1:9" ht="13.5" customHeight="1">
      <c r="A79" s="2" t="s">
        <v>108</v>
      </c>
      <c r="B79" s="6"/>
      <c r="C79" s="47">
        <f t="shared" si="1"/>
        <v>4.59375</v>
      </c>
      <c r="D79" s="47">
        <f t="shared" si="1"/>
        <v>267.96875</v>
      </c>
      <c r="E79" s="47">
        <f t="shared" si="1"/>
        <v>13000</v>
      </c>
      <c r="F79" s="47">
        <f t="shared" si="1"/>
        <v>366250</v>
      </c>
      <c r="G79" s="23"/>
      <c r="H79" s="7"/>
      <c r="I79" s="8"/>
    </row>
    <row r="80" spans="1:9" ht="13.5" customHeight="1">
      <c r="A80" s="2"/>
      <c r="B80" s="12"/>
      <c r="C80" s="12"/>
      <c r="D80" s="12"/>
      <c r="E80" s="12"/>
      <c r="F80" s="12"/>
      <c r="G80" s="12"/>
      <c r="H80" s="7"/>
      <c r="I80" s="12"/>
    </row>
    <row r="81" spans="1:9" ht="13.5" customHeight="1">
      <c r="A81" s="3" t="s">
        <v>119</v>
      </c>
      <c r="B81" s="12"/>
      <c r="C81" s="12"/>
      <c r="D81" s="12"/>
      <c r="E81" s="12"/>
      <c r="F81" s="12"/>
      <c r="G81" s="12"/>
      <c r="H81" s="7"/>
      <c r="I81" s="12"/>
    </row>
    <row r="82" spans="1:9" ht="13.5" customHeight="1">
      <c r="A82" s="2" t="s">
        <v>117</v>
      </c>
      <c r="B82" s="6"/>
      <c r="C82" s="50">
        <f aca="true" t="shared" si="2" ref="C82:F83">C78*$K$14</f>
        <v>0.0021449999999999998</v>
      </c>
      <c r="D82" s="51">
        <f t="shared" si="2"/>
        <v>0.12712500000000002</v>
      </c>
      <c r="E82" s="51">
        <f t="shared" si="2"/>
        <v>5.94</v>
      </c>
      <c r="F82" s="51">
        <f t="shared" si="2"/>
        <v>214.9875</v>
      </c>
      <c r="G82" s="8"/>
      <c r="H82" s="7"/>
      <c r="I82" s="20"/>
    </row>
    <row r="83" spans="1:9" ht="13.5" customHeight="1">
      <c r="A83" s="2" t="s">
        <v>118</v>
      </c>
      <c r="B83" s="6"/>
      <c r="C83" s="51">
        <f t="shared" si="2"/>
        <v>0.01378125</v>
      </c>
      <c r="D83" s="51">
        <f t="shared" si="2"/>
        <v>0.80390625</v>
      </c>
      <c r="E83" s="51">
        <f t="shared" si="2"/>
        <v>39</v>
      </c>
      <c r="F83" s="51">
        <f t="shared" si="2"/>
        <v>1098.75</v>
      </c>
      <c r="G83" s="8"/>
      <c r="H83" s="7"/>
      <c r="I83" s="20"/>
    </row>
  </sheetData>
  <sheetProtection/>
  <mergeCells count="2">
    <mergeCell ref="A25:D25"/>
    <mergeCell ref="A1:G1"/>
  </mergeCells>
  <dataValidations count="1">
    <dataValidation type="list" showInputMessage="1" showErrorMessage="1" sqref="L30">
      <formula1>$R$1:$R$2</formula1>
    </dataValidation>
  </dataValidations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4"/>
  <sheetViews>
    <sheetView zoomScale="125" zoomScaleNormal="125" zoomScalePageLayoutView="0" workbookViewId="0" topLeftCell="A1">
      <selection activeCell="K31" sqref="K31:K34"/>
    </sheetView>
  </sheetViews>
  <sheetFormatPr defaultColWidth="12.00390625" defaultRowHeight="13.5" customHeight="1"/>
  <cols>
    <col min="1" max="9" width="12.00390625" style="0" customWidth="1"/>
    <col min="10" max="10" width="2.421875" style="52" customWidth="1"/>
    <col min="11" max="11" width="29.00390625" style="0" customWidth="1"/>
    <col min="12" max="12" width="8.28125" style="0" customWidth="1"/>
  </cols>
  <sheetData>
    <row r="1" spans="1:9" ht="13.5" customHeight="1">
      <c r="A1" s="86" t="s">
        <v>53</v>
      </c>
      <c r="B1" s="86"/>
      <c r="C1" s="86"/>
      <c r="D1" s="86"/>
      <c r="E1" s="86"/>
      <c r="F1" s="9"/>
      <c r="G1" s="9"/>
      <c r="H1" s="9"/>
      <c r="I1" s="9"/>
    </row>
    <row r="2" spans="1:9" ht="13.5" customHeight="1">
      <c r="A2" s="13" t="s">
        <v>77</v>
      </c>
      <c r="B2" s="5"/>
      <c r="C2" s="5"/>
      <c r="D2" s="5"/>
      <c r="E2" s="5"/>
      <c r="F2" s="5"/>
      <c r="G2" s="5"/>
      <c r="H2" s="5"/>
      <c r="I2" s="9"/>
    </row>
    <row r="3" spans="1:11" ht="13.5" customHeight="1">
      <c r="A3" s="5"/>
      <c r="B3" s="5"/>
      <c r="C3" s="5"/>
      <c r="D3" s="5"/>
      <c r="E3" s="5"/>
      <c r="F3" s="5"/>
      <c r="G3" s="5"/>
      <c r="H3" s="5"/>
      <c r="I3" s="9"/>
      <c r="K3" s="38" t="s">
        <v>18</v>
      </c>
    </row>
    <row r="4" spans="1:13" ht="13.5" customHeight="1">
      <c r="A4" s="6"/>
      <c r="B4" s="4" t="s">
        <v>114</v>
      </c>
      <c r="C4" s="4" t="s">
        <v>107</v>
      </c>
      <c r="D4" s="4" t="s">
        <v>109</v>
      </c>
      <c r="E4" s="4" t="s">
        <v>110</v>
      </c>
      <c r="F4" s="4" t="s">
        <v>30</v>
      </c>
      <c r="G4" s="4" t="s">
        <v>116</v>
      </c>
      <c r="H4" s="31"/>
      <c r="I4" s="10" t="s">
        <v>192</v>
      </c>
      <c r="K4" s="53"/>
      <c r="L4" s="53"/>
      <c r="M4" s="53"/>
    </row>
    <row r="5" spans="1:14" ht="13.5" customHeight="1">
      <c r="A5" s="6"/>
      <c r="B5" s="6"/>
      <c r="C5" s="22"/>
      <c r="D5" s="22"/>
      <c r="E5" s="22"/>
      <c r="F5" s="22"/>
      <c r="G5" s="6"/>
      <c r="H5" s="31"/>
      <c r="I5" s="27" t="s">
        <v>100</v>
      </c>
      <c r="K5" s="53" t="s">
        <v>145</v>
      </c>
      <c r="L5" s="53"/>
      <c r="M5" s="53"/>
      <c r="N5" s="41"/>
    </row>
    <row r="6" spans="1:14" ht="13.5" customHeight="1">
      <c r="A6" s="2"/>
      <c r="B6" s="6"/>
      <c r="C6" s="22"/>
      <c r="D6" s="22"/>
      <c r="E6" s="22"/>
      <c r="F6" s="22"/>
      <c r="G6" s="6"/>
      <c r="H6" s="31"/>
      <c r="I6" s="27" t="s">
        <v>101</v>
      </c>
      <c r="K6" s="53" t="s">
        <v>146</v>
      </c>
      <c r="L6" s="58">
        <v>0.1</v>
      </c>
      <c r="M6" s="53"/>
      <c r="N6" s="40"/>
    </row>
    <row r="7" spans="1:14" ht="13.5" customHeight="1">
      <c r="A7" s="2"/>
      <c r="B7" s="9"/>
      <c r="C7" s="6"/>
      <c r="D7" s="6"/>
      <c r="E7" s="6"/>
      <c r="F7" s="6"/>
      <c r="G7" s="6"/>
      <c r="H7" s="31"/>
      <c r="I7" s="27" t="s">
        <v>102</v>
      </c>
      <c r="K7" s="53" t="s">
        <v>147</v>
      </c>
      <c r="L7" s="56"/>
      <c r="M7" s="54"/>
      <c r="N7" s="40"/>
    </row>
    <row r="8" spans="1:14" ht="13.5" customHeight="1">
      <c r="A8" s="18" t="s">
        <v>20</v>
      </c>
      <c r="B8" s="9"/>
      <c r="C8" s="12"/>
      <c r="D8" s="12"/>
      <c r="E8" s="12"/>
      <c r="F8" s="12"/>
      <c r="G8" s="6"/>
      <c r="H8" s="31"/>
      <c r="I8" s="12"/>
      <c r="K8" s="53"/>
      <c r="L8" s="54"/>
      <c r="M8" s="54"/>
      <c r="N8" s="40"/>
    </row>
    <row r="9" spans="1:13" ht="13.5" customHeight="1">
      <c r="A9" s="3" t="s">
        <v>107</v>
      </c>
      <c r="B9" s="12"/>
      <c r="C9" s="11"/>
      <c r="D9" s="11"/>
      <c r="E9" s="11"/>
      <c r="F9" s="11"/>
      <c r="G9" s="6"/>
      <c r="H9" s="32"/>
      <c r="I9" s="12"/>
      <c r="K9" s="38"/>
      <c r="L9" s="59"/>
      <c r="M9" s="53"/>
    </row>
    <row r="10" spans="1:14" ht="13.5" customHeight="1">
      <c r="A10" s="2" t="s">
        <v>121</v>
      </c>
      <c r="B10" s="12"/>
      <c r="C10" s="63">
        <f>($L$6+$L$25)*'gBytes per year'!C10</f>
        <v>0.10200000000000001</v>
      </c>
      <c r="D10" s="63">
        <f>($L$6+$L$25)*'gBytes per year'!D10</f>
        <v>3.825000000000001</v>
      </c>
      <c r="E10" s="63">
        <f>($L$6+$L$25)*'gBytes per year'!E10</f>
        <v>382.5</v>
      </c>
      <c r="F10" s="63">
        <f>($L$6+$L$25)*'gBytes per year'!F10</f>
        <v>6693.75</v>
      </c>
      <c r="G10" s="63">
        <f>SUM(C10:F10)</f>
        <v>7080.177</v>
      </c>
      <c r="H10" s="32"/>
      <c r="I10" s="63">
        <f>($L$6+$L$25)*'gBytes per year'!I10</f>
        <v>21.240531000000004</v>
      </c>
      <c r="K10" s="53"/>
      <c r="L10" s="54"/>
      <c r="M10" s="54"/>
      <c r="N10" s="40"/>
    </row>
    <row r="11" spans="1:14" ht="13.5" customHeight="1">
      <c r="A11" s="2" t="s">
        <v>118</v>
      </c>
      <c r="B11" s="12"/>
      <c r="C11" s="63">
        <f>($L$6+$L$25)*'gBytes per year'!C11</f>
        <v>95.625</v>
      </c>
      <c r="D11" s="63">
        <f>($L$6+$L$25)*'gBytes per year'!D11</f>
        <v>478.125</v>
      </c>
      <c r="E11" s="63">
        <f>($L$6+$L$25)*'gBytes per year'!E11</f>
        <v>9562.5</v>
      </c>
      <c r="F11" s="63">
        <f>($L$6+$L$25)*'gBytes per year'!F11</f>
        <v>38250</v>
      </c>
      <c r="G11" s="63">
        <f>SUM(C11:F11)</f>
        <v>48386.25</v>
      </c>
      <c r="H11" s="32"/>
      <c r="I11" s="63">
        <f>($L$6+$L$25)*'gBytes per year'!I11</f>
        <v>145.15875</v>
      </c>
      <c r="K11" s="53"/>
      <c r="L11" s="54"/>
      <c r="M11" s="54"/>
      <c r="N11" s="40"/>
    </row>
    <row r="12" spans="1:13" ht="13.5" customHeight="1">
      <c r="A12" s="2"/>
      <c r="B12" s="12"/>
      <c r="C12" s="63"/>
      <c r="D12" s="63"/>
      <c r="E12" s="63"/>
      <c r="F12" s="63"/>
      <c r="G12" s="63"/>
      <c r="H12" s="32"/>
      <c r="I12" s="63"/>
      <c r="K12" s="53"/>
      <c r="L12" s="60"/>
      <c r="M12" s="53"/>
    </row>
    <row r="13" spans="1:14" ht="13.5" customHeight="1">
      <c r="A13" s="3" t="s">
        <v>109</v>
      </c>
      <c r="B13" s="12"/>
      <c r="C13" s="63"/>
      <c r="D13" s="63"/>
      <c r="E13" s="63"/>
      <c r="F13" s="63"/>
      <c r="G13" s="63"/>
      <c r="H13" s="32"/>
      <c r="I13" s="63"/>
      <c r="K13" s="38" t="s">
        <v>144</v>
      </c>
      <c r="L13" s="55"/>
      <c r="M13" s="55"/>
      <c r="N13" s="42"/>
    </row>
    <row r="14" spans="1:13" ht="13.5" customHeight="1">
      <c r="A14" s="2" t="s">
        <v>19</v>
      </c>
      <c r="B14" s="6"/>
      <c r="C14" s="63">
        <f>($L$6+$L$25)*'gBytes per year'!C14</f>
        <v>0.255</v>
      </c>
      <c r="D14" s="63">
        <f>($L$6+$L$25)*'gBytes per year'!D14</f>
        <v>19.125</v>
      </c>
      <c r="E14" s="63">
        <f>($L$6+$L$25)*'gBytes per year'!E14</f>
        <v>573.75</v>
      </c>
      <c r="F14" s="63">
        <f>($L$6+$L$25)*'gBytes per year'!F14</f>
        <v>6693.75</v>
      </c>
      <c r="G14" s="63">
        <f>SUM(C14:F14)</f>
        <v>7286.88</v>
      </c>
      <c r="H14" s="32"/>
      <c r="I14" s="63">
        <f>($L$6+$L$25)*'gBytes per year'!I14</f>
        <v>21.860640000000004</v>
      </c>
      <c r="L14" s="39"/>
      <c r="M14" s="53"/>
    </row>
    <row r="15" spans="1:13" ht="13.5" customHeight="1">
      <c r="A15" s="2" t="s">
        <v>108</v>
      </c>
      <c r="B15" s="6"/>
      <c r="C15" s="63">
        <f>($L$6+$L$25)*'gBytes per year'!C15</f>
        <v>199.21875</v>
      </c>
      <c r="D15" s="63">
        <f>($L$6+$L$25)*'gBytes per year'!D15</f>
        <v>1992.1875</v>
      </c>
      <c r="E15" s="63">
        <f>($L$6+$L$25)*'gBytes per year'!E15</f>
        <v>11953.125</v>
      </c>
      <c r="F15" s="63">
        <f>($L$6+$L$25)*'gBytes per year'!F15</f>
        <v>31875</v>
      </c>
      <c r="G15" s="63">
        <f>SUM(C15:F15)</f>
        <v>46019.53125</v>
      </c>
      <c r="H15" s="32"/>
      <c r="I15" s="63">
        <f>($L$6+$L$25)*'gBytes per year'!I15</f>
        <v>138.05859375</v>
      </c>
      <c r="K15" s="53" t="s">
        <v>145</v>
      </c>
      <c r="L15" s="60"/>
      <c r="M15" s="53"/>
    </row>
    <row r="16" spans="1:13" ht="13.5" customHeight="1">
      <c r="A16" s="2"/>
      <c r="B16" s="12"/>
      <c r="C16" s="63"/>
      <c r="D16" s="63"/>
      <c r="E16" s="63"/>
      <c r="F16" s="63"/>
      <c r="G16" s="63"/>
      <c r="H16" s="32"/>
      <c r="I16" s="63"/>
      <c r="K16" s="53" t="s">
        <v>148</v>
      </c>
      <c r="L16" s="61">
        <v>0.055</v>
      </c>
      <c r="M16" s="53"/>
    </row>
    <row r="17" spans="1:13" ht="13.5" customHeight="1">
      <c r="A17" s="3" t="s">
        <v>110</v>
      </c>
      <c r="B17" s="12"/>
      <c r="C17" s="63"/>
      <c r="D17" s="63"/>
      <c r="E17" s="63"/>
      <c r="F17" s="63"/>
      <c r="G17" s="63"/>
      <c r="H17" s="32"/>
      <c r="I17" s="63"/>
      <c r="K17" s="53" t="s">
        <v>147</v>
      </c>
      <c r="L17" s="60"/>
      <c r="M17" s="53"/>
    </row>
    <row r="18" spans="1:12" ht="13.5" customHeight="1">
      <c r="A18" s="2" t="s">
        <v>19</v>
      </c>
      <c r="B18" s="6"/>
      <c r="C18" s="63">
        <f>($L$6+$L$25)*'gBytes per year'!C18</f>
        <v>0.3723</v>
      </c>
      <c r="D18" s="63">
        <f>($L$6+$L$25)*'gBytes per year'!D18</f>
        <v>41.88375</v>
      </c>
      <c r="E18" s="63">
        <f>($L$6+$L$25)*'gBytes per year'!E18</f>
        <v>558.45</v>
      </c>
      <c r="F18" s="63">
        <f>($L$6+$L$25)*'gBytes per year'!F18</f>
        <v>4886.4375</v>
      </c>
      <c r="G18" s="63">
        <f>SUM(C18:F18)</f>
        <v>5487.14355</v>
      </c>
      <c r="H18" s="32"/>
      <c r="I18" s="63">
        <f>($L$6+$L$25)*'gBytes per year'!I18</f>
        <v>16.46143065</v>
      </c>
      <c r="L18" s="39"/>
    </row>
    <row r="19" spans="1:12" ht="13.5" customHeight="1">
      <c r="A19" s="2" t="s">
        <v>108</v>
      </c>
      <c r="B19" s="6"/>
      <c r="C19" s="63">
        <f>($L$6+$L$25)*'gBytes per year'!C19</f>
        <v>290.859375</v>
      </c>
      <c r="D19" s="63">
        <f>($L$6+$L$25)*'gBytes per year'!D19</f>
        <v>4362.890625</v>
      </c>
      <c r="E19" s="63">
        <f>($L$6+$L$25)*'gBytes per year'!E19</f>
        <v>11634.375</v>
      </c>
      <c r="F19" s="63">
        <f>($L$6+$L$25)*'gBytes per year'!F19</f>
        <v>23268.75</v>
      </c>
      <c r="G19" s="63">
        <f>SUM(C19:F19)</f>
        <v>39556.875</v>
      </c>
      <c r="H19" s="31"/>
      <c r="I19" s="63">
        <f>($L$6+$L$25)*'gBytes per year'!I19</f>
        <v>118.670625</v>
      </c>
      <c r="K19" s="53" t="s">
        <v>48</v>
      </c>
      <c r="L19" s="62"/>
    </row>
    <row r="20" spans="1:12" ht="13.5" customHeight="1">
      <c r="A20" s="2"/>
      <c r="B20" s="12"/>
      <c r="C20" s="63"/>
      <c r="D20" s="63"/>
      <c r="E20" s="63"/>
      <c r="F20" s="63"/>
      <c r="G20" s="63"/>
      <c r="H20" s="32"/>
      <c r="I20" s="63"/>
      <c r="K20" s="53" t="s">
        <v>50</v>
      </c>
      <c r="L20" s="21">
        <v>1</v>
      </c>
    </row>
    <row r="21" spans="1:12" ht="13.5" customHeight="1">
      <c r="A21" s="3" t="s">
        <v>120</v>
      </c>
      <c r="B21" s="12"/>
      <c r="C21" s="63"/>
      <c r="D21" s="63"/>
      <c r="E21" s="63"/>
      <c r="F21" s="63"/>
      <c r="G21" s="63"/>
      <c r="H21" s="32"/>
      <c r="I21" s="63"/>
      <c r="K21" s="53" t="s">
        <v>51</v>
      </c>
      <c r="L21" s="39"/>
    </row>
    <row r="22" spans="1:12" ht="13.5" customHeight="1">
      <c r="A22" s="2" t="s">
        <v>19</v>
      </c>
      <c r="B22" s="6"/>
      <c r="C22" s="63">
        <f>C10+C14+C18</f>
        <v>0.7293000000000001</v>
      </c>
      <c r="D22" s="63">
        <f aca="true" t="shared" si="0" ref="D22:F23">D10+D14+D18</f>
        <v>64.83375000000001</v>
      </c>
      <c r="E22" s="63">
        <f t="shared" si="0"/>
        <v>1514.7</v>
      </c>
      <c r="F22" s="63">
        <f t="shared" si="0"/>
        <v>18273.9375</v>
      </c>
      <c r="G22" s="65">
        <f>SUM(C22:F22)</f>
        <v>19854.20055</v>
      </c>
      <c r="H22" s="32"/>
      <c r="I22" s="63">
        <f>I10+I14+I18</f>
        <v>59.562601650000005</v>
      </c>
      <c r="K22" s="53" t="s">
        <v>52</v>
      </c>
      <c r="L22" s="39"/>
    </row>
    <row r="23" spans="1:12" ht="13.5" customHeight="1">
      <c r="A23" s="2" t="s">
        <v>108</v>
      </c>
      <c r="B23" s="6"/>
      <c r="C23" s="63">
        <f>C11+C15+C19</f>
        <v>585.703125</v>
      </c>
      <c r="D23" s="63">
        <f t="shared" si="0"/>
        <v>6833.203125</v>
      </c>
      <c r="E23" s="63">
        <f t="shared" si="0"/>
        <v>33150</v>
      </c>
      <c r="F23" s="63">
        <f t="shared" si="0"/>
        <v>93393.75</v>
      </c>
      <c r="G23" s="65">
        <f>SUM(C23:F23)</f>
        <v>133962.65625</v>
      </c>
      <c r="H23" s="45"/>
      <c r="I23" s="63">
        <f>I11+I15+I19</f>
        <v>401.88796875</v>
      </c>
      <c r="L23" s="39"/>
    </row>
    <row r="24" spans="1:12" ht="13.5" customHeight="1">
      <c r="A24" s="29"/>
      <c r="B24" s="44"/>
      <c r="C24" s="44"/>
      <c r="D24" s="44"/>
      <c r="E24" s="44"/>
      <c r="F24" s="44"/>
      <c r="G24" s="44"/>
      <c r="H24" s="46"/>
      <c r="I24" s="12"/>
      <c r="K24" t="s">
        <v>49</v>
      </c>
      <c r="L24" s="39"/>
    </row>
    <row r="25" spans="1:12" ht="13.5" customHeight="1">
      <c r="A25" s="88" t="s">
        <v>99</v>
      </c>
      <c r="B25" s="88"/>
      <c r="C25" s="88"/>
      <c r="D25" s="88"/>
      <c r="E25" s="12"/>
      <c r="F25" s="12"/>
      <c r="G25" s="12"/>
      <c r="H25" s="7"/>
      <c r="I25" s="12"/>
      <c r="K25" t="s">
        <v>149</v>
      </c>
      <c r="L25" s="59">
        <f>L6+(L16*L20)</f>
        <v>0.155</v>
      </c>
    </row>
    <row r="26" spans="1:11" ht="13.5" customHeight="1">
      <c r="A26" s="2" t="s">
        <v>117</v>
      </c>
      <c r="B26" s="6"/>
      <c r="C26" s="63">
        <f>($L$6+$L$25)*'gBytes per year'!C26</f>
        <v>0.03723</v>
      </c>
      <c r="D26" s="63">
        <f>($L$6+$L$25)*'gBytes per year'!D26</f>
        <v>0.55845</v>
      </c>
      <c r="E26" s="63">
        <f>($L$6+$L$25)*'gBytes per year'!E26</f>
        <v>5.584499999999999</v>
      </c>
      <c r="F26" s="63">
        <f>($L$6+$L$25)*'gBytes per year'!F26</f>
        <v>48.864375</v>
      </c>
      <c r="G26" s="63">
        <f>SUM(C26:F26)</f>
        <v>55.044555</v>
      </c>
      <c r="H26" s="7"/>
      <c r="I26" s="64">
        <f>I22+G26</f>
        <v>114.60715665000001</v>
      </c>
      <c r="K26" t="s">
        <v>45</v>
      </c>
    </row>
    <row r="27" spans="1:11" ht="13.5" customHeight="1">
      <c r="A27" s="2" t="s">
        <v>118</v>
      </c>
      <c r="B27" s="6"/>
      <c r="C27" s="63">
        <f>($L$6+$L$25)*'gBytes per year'!C27</f>
        <v>11.634375</v>
      </c>
      <c r="D27" s="63">
        <f>($L$6+$L$25)*'gBytes per year'!D27</f>
        <v>23.26875</v>
      </c>
      <c r="E27" s="63">
        <f>($L$6+$L$25)*'gBytes per year'!E27</f>
        <v>46.5375</v>
      </c>
      <c r="F27" s="63">
        <f>($L$6+$L$25)*'gBytes per year'!F27</f>
        <v>93.075</v>
      </c>
      <c r="G27" s="63">
        <f>SUM(C27:F27)</f>
        <v>174.515625</v>
      </c>
      <c r="H27" s="7"/>
      <c r="I27" s="64">
        <f>I23+G27</f>
        <v>576.40359375</v>
      </c>
      <c r="K27" t="s">
        <v>46</v>
      </c>
    </row>
    <row r="28" ht="13.5" customHeight="1">
      <c r="K28" t="s">
        <v>47</v>
      </c>
    </row>
    <row r="30" ht="13.5" customHeight="1">
      <c r="A30" s="13" t="s">
        <v>54</v>
      </c>
    </row>
    <row r="31" ht="13.5" customHeight="1">
      <c r="K31" s="38" t="s">
        <v>66</v>
      </c>
    </row>
    <row r="32" spans="1:11" ht="13.5" customHeight="1">
      <c r="A32" s="6"/>
      <c r="B32" s="4" t="s">
        <v>114</v>
      </c>
      <c r="C32" s="4" t="s">
        <v>107</v>
      </c>
      <c r="D32" s="4" t="s">
        <v>109</v>
      </c>
      <c r="E32" s="4" t="s">
        <v>110</v>
      </c>
      <c r="F32" s="4" t="s">
        <v>30</v>
      </c>
      <c r="G32" s="4" t="s">
        <v>116</v>
      </c>
      <c r="H32" s="6"/>
      <c r="I32" s="10" t="s">
        <v>192</v>
      </c>
      <c r="K32" s="38"/>
    </row>
    <row r="33" spans="1:11" ht="13.5" customHeight="1">
      <c r="A33" s="6"/>
      <c r="B33" s="6"/>
      <c r="C33" s="22"/>
      <c r="D33" s="22"/>
      <c r="E33" s="22"/>
      <c r="F33" s="22"/>
      <c r="G33" s="6"/>
      <c r="H33" s="6"/>
      <c r="I33" s="27" t="s">
        <v>100</v>
      </c>
      <c r="K33" s="38" t="s">
        <v>65</v>
      </c>
    </row>
    <row r="34" spans="1:11" ht="13.5" customHeight="1">
      <c r="A34" s="2"/>
      <c r="B34" s="6"/>
      <c r="C34" s="22"/>
      <c r="D34" s="22"/>
      <c r="E34" s="22"/>
      <c r="F34" s="22"/>
      <c r="G34" s="6"/>
      <c r="H34" s="6"/>
      <c r="I34" s="27" t="s">
        <v>101</v>
      </c>
      <c r="K34" s="38" t="s">
        <v>17</v>
      </c>
    </row>
    <row r="35" spans="1:9" ht="13.5" customHeight="1">
      <c r="A35" s="2"/>
      <c r="B35" s="9"/>
      <c r="C35" s="6"/>
      <c r="D35" s="6"/>
      <c r="E35" s="6"/>
      <c r="F35" s="6"/>
      <c r="G35" s="6"/>
      <c r="H35" s="6"/>
      <c r="I35" s="27" t="s">
        <v>102</v>
      </c>
    </row>
    <row r="36" spans="1:9" ht="13.5" customHeight="1">
      <c r="A36" s="18" t="s">
        <v>20</v>
      </c>
      <c r="B36" s="9"/>
      <c r="C36" s="12"/>
      <c r="D36" s="12"/>
      <c r="E36" s="12"/>
      <c r="F36" s="12"/>
      <c r="G36" s="6"/>
      <c r="H36" s="6"/>
      <c r="I36" s="12"/>
    </row>
    <row r="37" spans="1:9" ht="13.5" customHeight="1">
      <c r="A37" s="3" t="s">
        <v>107</v>
      </c>
      <c r="B37" s="12"/>
      <c r="C37" s="11"/>
      <c r="D37" s="11"/>
      <c r="E37" s="11"/>
      <c r="F37" s="11"/>
      <c r="G37" s="6"/>
      <c r="H37" s="8"/>
      <c r="I37" s="12"/>
    </row>
    <row r="38" spans="1:9" ht="13.5" customHeight="1">
      <c r="A38" s="2" t="s">
        <v>121</v>
      </c>
      <c r="B38" s="12"/>
      <c r="C38" s="63">
        <f>($L$25)*'gBytes per year'!C38</f>
        <v>0.000124</v>
      </c>
      <c r="D38" s="63">
        <f>($L$25)*'gBytes per year'!D38</f>
        <v>0.0046500000000000005</v>
      </c>
      <c r="E38" s="63">
        <f>($L$25)*'gBytes per year'!E38</f>
        <v>0.46499999999999997</v>
      </c>
      <c r="F38" s="63">
        <f>($L$25)*'gBytes per year'!F38</f>
        <v>8.1375</v>
      </c>
      <c r="G38" s="65">
        <f>SUM(C38:F38)</f>
        <v>8.607273999999999</v>
      </c>
      <c r="H38" s="8"/>
      <c r="I38" s="67">
        <f>($L$25)*'gBytes per year'!I38</f>
        <v>0.025821822</v>
      </c>
    </row>
    <row r="39" spans="1:9" ht="13.5" customHeight="1">
      <c r="A39" s="2" t="s">
        <v>118</v>
      </c>
      <c r="B39" s="12"/>
      <c r="C39" s="63">
        <f>($L$25)*'gBytes per year'!C39</f>
        <v>0.03875</v>
      </c>
      <c r="D39" s="63">
        <f>($L$25)*'gBytes per year'!D39</f>
        <v>0.19375</v>
      </c>
      <c r="E39" s="63">
        <f>($L$25)*'gBytes per year'!E39</f>
        <v>3.875</v>
      </c>
      <c r="F39" s="63">
        <f>($L$25)*'gBytes per year'!F39</f>
        <v>15.5</v>
      </c>
      <c r="G39" s="65">
        <f>SUM(C39:F39)</f>
        <v>19.6075</v>
      </c>
      <c r="H39" s="8"/>
      <c r="I39" s="67">
        <f>($L$25)*'gBytes per year'!I39</f>
        <v>0.0588225</v>
      </c>
    </row>
    <row r="40" spans="1:9" ht="13.5" customHeight="1">
      <c r="A40" s="2"/>
      <c r="B40" s="12"/>
      <c r="C40" s="23"/>
      <c r="D40" s="23"/>
      <c r="E40" s="23"/>
      <c r="F40" s="23"/>
      <c r="G40" s="66"/>
      <c r="H40" s="8"/>
      <c r="I40" s="12"/>
    </row>
    <row r="41" spans="1:9" ht="13.5" customHeight="1">
      <c r="A41" s="3" t="s">
        <v>109</v>
      </c>
      <c r="B41" s="12"/>
      <c r="C41" s="23"/>
      <c r="D41" s="23"/>
      <c r="E41" s="23"/>
      <c r="F41" s="23"/>
      <c r="G41" s="66"/>
      <c r="H41" s="8"/>
      <c r="I41" s="12"/>
    </row>
    <row r="42" spans="1:9" ht="13.5" customHeight="1">
      <c r="A42" s="2" t="s">
        <v>19</v>
      </c>
      <c r="B42" s="6"/>
      <c r="C42" s="63">
        <f>($L$25)*'gBytes per year'!C42</f>
        <v>0.000775</v>
      </c>
      <c r="D42" s="63">
        <f>($L$25)*'gBytes per year'!D42</f>
        <v>0.058124999999999996</v>
      </c>
      <c r="E42" s="63">
        <f>($L$25)*'gBytes per year'!E42</f>
        <v>1.74375</v>
      </c>
      <c r="F42" s="63">
        <f>($L$25)*'gBytes per year'!F42</f>
        <v>20.34375</v>
      </c>
      <c r="G42" s="65">
        <f>SUM(C42:F42)</f>
        <v>22.1464</v>
      </c>
      <c r="H42" s="8"/>
      <c r="I42" s="67">
        <f>($L$25)*'gBytes per year'!I42</f>
        <v>0.0664392</v>
      </c>
    </row>
    <row r="43" spans="1:9" ht="13.5" customHeight="1">
      <c r="A43" s="2" t="s">
        <v>108</v>
      </c>
      <c r="B43" s="6"/>
      <c r="C43" s="63">
        <f>($L$25)*'gBytes per year'!C43</f>
        <v>0.2421875</v>
      </c>
      <c r="D43" s="63">
        <f>($L$25)*'gBytes per year'!D43</f>
        <v>2.421875</v>
      </c>
      <c r="E43" s="63">
        <f>($L$25)*'gBytes per year'!E43</f>
        <v>14.53125</v>
      </c>
      <c r="F43" s="63">
        <f>($L$25)*'gBytes per year'!F43</f>
        <v>38.75</v>
      </c>
      <c r="G43" s="65">
        <f>SUM(C43:F43)</f>
        <v>55.9453125</v>
      </c>
      <c r="H43" s="8"/>
      <c r="I43" s="67">
        <f>($L$25)*'gBytes per year'!I43</f>
        <v>0.1678359375</v>
      </c>
    </row>
    <row r="44" spans="1:9" ht="13.5" customHeight="1">
      <c r="A44" s="2"/>
      <c r="B44" s="12"/>
      <c r="C44" s="23"/>
      <c r="D44" s="23"/>
      <c r="E44" s="23"/>
      <c r="F44" s="23"/>
      <c r="G44" s="66"/>
      <c r="H44" s="8"/>
      <c r="I44" s="12"/>
    </row>
    <row r="45" spans="1:9" ht="13.5" customHeight="1">
      <c r="A45" s="3" t="s">
        <v>110</v>
      </c>
      <c r="B45" s="12"/>
      <c r="C45" s="23"/>
      <c r="D45" s="23"/>
      <c r="E45" s="23"/>
      <c r="F45" s="23"/>
      <c r="G45" s="66"/>
      <c r="H45" s="8"/>
      <c r="I45" s="12"/>
    </row>
    <row r="46" spans="1:9" ht="13.5" customHeight="1">
      <c r="A46" s="2" t="s">
        <v>19</v>
      </c>
      <c r="B46" s="6"/>
      <c r="C46" s="63">
        <f>($L$25)*'gBytes per year'!C46</f>
        <v>0.002263</v>
      </c>
      <c r="D46" s="63">
        <f>($L$25)*'gBytes per year'!D46</f>
        <v>0.2545875</v>
      </c>
      <c r="E46" s="63">
        <f>($L$25)*'gBytes per year'!E46</f>
        <v>3.3945</v>
      </c>
      <c r="F46" s="63">
        <f>($L$25)*'gBytes per year'!F46</f>
        <v>29.701875</v>
      </c>
      <c r="G46" s="65">
        <f>SUM(C46:F46)</f>
        <v>33.3532255</v>
      </c>
      <c r="H46" s="8"/>
      <c r="I46" s="67">
        <f>($L$25)*'gBytes per year'!I46</f>
        <v>0.1000596765</v>
      </c>
    </row>
    <row r="47" spans="1:9" ht="13.5" customHeight="1">
      <c r="A47" s="2" t="s">
        <v>108</v>
      </c>
      <c r="B47" s="6"/>
      <c r="C47" s="63">
        <f>($L$25)*'gBytes per year'!C47</f>
        <v>0.7071875</v>
      </c>
      <c r="D47" s="63">
        <f>($L$25)*'gBytes per year'!D47</f>
        <v>10.6078125</v>
      </c>
      <c r="E47" s="63">
        <f>($L$25)*'gBytes per year'!E47</f>
        <v>28.2875</v>
      </c>
      <c r="F47" s="63">
        <f>($L$25)*'gBytes per year'!F47</f>
        <v>56.575</v>
      </c>
      <c r="G47" s="65">
        <f>SUM(C47:F47)</f>
        <v>96.17750000000001</v>
      </c>
      <c r="H47" s="6"/>
      <c r="I47" s="67">
        <f>($L$25)*'gBytes per year'!I47</f>
        <v>0.28853249999999997</v>
      </c>
    </row>
    <row r="48" spans="1:9" ht="13.5" customHeight="1">
      <c r="A48" s="2"/>
      <c r="B48" s="12"/>
      <c r="C48" s="24"/>
      <c r="D48" s="24"/>
      <c r="E48" s="24"/>
      <c r="F48" s="24"/>
      <c r="G48" s="23"/>
      <c r="H48" s="8"/>
      <c r="I48" s="12"/>
    </row>
    <row r="49" spans="1:9" ht="13.5" customHeight="1">
      <c r="A49" s="3" t="s">
        <v>120</v>
      </c>
      <c r="B49" s="12"/>
      <c r="C49" s="23"/>
      <c r="D49" s="23"/>
      <c r="E49" s="23"/>
      <c r="F49" s="23"/>
      <c r="G49" s="12"/>
      <c r="H49" s="8"/>
      <c r="I49" s="12"/>
    </row>
    <row r="50" spans="1:9" ht="13.5" customHeight="1">
      <c r="A50" s="2" t="s">
        <v>19</v>
      </c>
      <c r="B50" s="6"/>
      <c r="C50" s="23"/>
      <c r="D50" s="23"/>
      <c r="E50" s="23"/>
      <c r="F50" s="23"/>
      <c r="G50" s="12"/>
      <c r="H50" s="8"/>
      <c r="I50" s="8"/>
    </row>
    <row r="51" spans="1:9" ht="13.5" customHeight="1">
      <c r="A51" s="2" t="s">
        <v>108</v>
      </c>
      <c r="B51" s="6"/>
      <c r="C51" s="23"/>
      <c r="D51" s="23"/>
      <c r="E51" s="23"/>
      <c r="F51" s="23"/>
      <c r="G51" s="12"/>
      <c r="H51" s="7"/>
      <c r="I51" s="8"/>
    </row>
    <row r="52" spans="1:9" ht="13.5" customHeight="1">
      <c r="A52" s="2"/>
      <c r="B52" s="12"/>
      <c r="C52" s="12"/>
      <c r="D52" s="12"/>
      <c r="E52" s="12"/>
      <c r="F52" s="12"/>
      <c r="G52" s="12"/>
      <c r="H52" s="7"/>
      <c r="I52" s="12"/>
    </row>
    <row r="53" spans="1:9" ht="13.5" customHeight="1">
      <c r="A53" s="3" t="s">
        <v>119</v>
      </c>
      <c r="B53" s="12"/>
      <c r="C53" s="12"/>
      <c r="D53" s="12"/>
      <c r="E53" s="12"/>
      <c r="F53" s="12"/>
      <c r="G53" s="12"/>
      <c r="H53" s="7"/>
      <c r="I53" s="12"/>
    </row>
    <row r="54" spans="1:9" ht="13.5" customHeight="1">
      <c r="A54" s="2" t="s">
        <v>117</v>
      </c>
      <c r="B54" s="6"/>
      <c r="C54" s="8"/>
      <c r="D54" s="8"/>
      <c r="E54" s="8"/>
      <c r="F54" s="8"/>
      <c r="G54" s="8"/>
      <c r="H54" s="7"/>
      <c r="I54" s="20"/>
    </row>
    <row r="55" spans="1:9" ht="13.5" customHeight="1">
      <c r="A55" s="2" t="s">
        <v>118</v>
      </c>
      <c r="B55" s="6"/>
      <c r="C55" s="8"/>
      <c r="D55" s="8"/>
      <c r="E55" s="8"/>
      <c r="F55" s="8"/>
      <c r="G55" s="8"/>
      <c r="H55" s="7"/>
      <c r="I55" s="20"/>
    </row>
    <row r="58" ht="13.5" customHeight="1">
      <c r="A58" s="13" t="s">
        <v>131</v>
      </c>
    </row>
    <row r="60" spans="1:9" ht="13.5" customHeight="1">
      <c r="A60" s="6"/>
      <c r="B60" s="4" t="s">
        <v>114</v>
      </c>
      <c r="C60" s="4" t="s">
        <v>107</v>
      </c>
      <c r="D60" s="4" t="s">
        <v>109</v>
      </c>
      <c r="E60" s="4" t="s">
        <v>110</v>
      </c>
      <c r="F60" s="4" t="s">
        <v>30</v>
      </c>
      <c r="G60" s="4" t="s">
        <v>116</v>
      </c>
      <c r="H60" s="6"/>
      <c r="I60" s="10" t="s">
        <v>192</v>
      </c>
    </row>
    <row r="61" spans="1:9" ht="13.5" customHeight="1">
      <c r="A61" s="6"/>
      <c r="B61" s="6"/>
      <c r="C61" s="22"/>
      <c r="D61" s="22"/>
      <c r="E61" s="22"/>
      <c r="F61" s="22"/>
      <c r="G61" s="6"/>
      <c r="H61" s="6"/>
      <c r="I61" s="27" t="s">
        <v>100</v>
      </c>
    </row>
    <row r="62" spans="1:9" ht="13.5" customHeight="1">
      <c r="A62" s="2"/>
      <c r="B62" s="6"/>
      <c r="C62" s="22"/>
      <c r="D62" s="22"/>
      <c r="E62" s="22"/>
      <c r="F62" s="22"/>
      <c r="G62" s="6"/>
      <c r="H62" s="6"/>
      <c r="I62" s="27" t="s">
        <v>101</v>
      </c>
    </row>
    <row r="63" spans="1:9" ht="13.5" customHeight="1">
      <c r="A63" s="2"/>
      <c r="B63" s="9"/>
      <c r="C63" s="6"/>
      <c r="D63" s="6"/>
      <c r="E63" s="6"/>
      <c r="F63" s="6"/>
      <c r="G63" s="6"/>
      <c r="H63" s="6"/>
      <c r="I63" s="27" t="s">
        <v>102</v>
      </c>
    </row>
    <row r="64" spans="1:9" ht="13.5" customHeight="1">
      <c r="A64" s="18" t="s">
        <v>20</v>
      </c>
      <c r="B64" s="9"/>
      <c r="C64" s="12"/>
      <c r="D64" s="12"/>
      <c r="E64" s="12"/>
      <c r="F64" s="12"/>
      <c r="G64" s="6"/>
      <c r="H64" s="6"/>
      <c r="I64" s="12"/>
    </row>
    <row r="65" spans="1:9" ht="13.5" customHeight="1">
      <c r="A65" s="3" t="s">
        <v>107</v>
      </c>
      <c r="B65" s="12"/>
      <c r="C65" s="11"/>
      <c r="D65" s="11"/>
      <c r="E65" s="11"/>
      <c r="F65" s="11"/>
      <c r="G65" s="6"/>
      <c r="H65" s="8"/>
      <c r="I65" s="12"/>
    </row>
    <row r="66" spans="1:9" ht="13.5" customHeight="1">
      <c r="A66" s="2" t="s">
        <v>121</v>
      </c>
      <c r="B66" s="12"/>
      <c r="C66" s="63">
        <f>($L$6)*'gBytes per year'!C66</f>
        <v>0.010000000000000002</v>
      </c>
      <c r="D66" s="63">
        <f>($L$6)*'gBytes per year'!D66</f>
        <v>0.25000000000000006</v>
      </c>
      <c r="E66" s="63">
        <f>($L$6)*'gBytes per year'!E66</f>
        <v>50</v>
      </c>
      <c r="F66" s="63">
        <f>($L$6+$L$25)*'gBytes per year'!F66</f>
        <v>6693.75</v>
      </c>
      <c r="G66" s="23"/>
      <c r="H66" s="8"/>
      <c r="I66" s="20"/>
    </row>
    <row r="67" spans="1:9" ht="13.5" customHeight="1">
      <c r="A67" s="2" t="s">
        <v>118</v>
      </c>
      <c r="B67" s="12"/>
      <c r="C67" s="63">
        <f>($L$6)*'gBytes per year'!C67</f>
        <v>0.07500000000000001</v>
      </c>
      <c r="D67" s="63">
        <f>($L$6)*'gBytes per year'!D67</f>
        <v>1.875</v>
      </c>
      <c r="E67" s="63">
        <f>($L$6)*'gBytes per year'!E67</f>
        <v>375</v>
      </c>
      <c r="F67" s="63">
        <f>($L$6+$L$25)*'gBytes per year'!F67</f>
        <v>38250</v>
      </c>
      <c r="G67" s="23"/>
      <c r="H67" s="8"/>
      <c r="I67" s="20"/>
    </row>
    <row r="68" spans="1:9" ht="13.5" customHeight="1">
      <c r="A68" s="2"/>
      <c r="B68" s="12"/>
      <c r="C68" s="23"/>
      <c r="D68" s="23"/>
      <c r="E68" s="23"/>
      <c r="F68" s="23"/>
      <c r="G68" s="23"/>
      <c r="H68" s="8"/>
      <c r="I68" s="12"/>
    </row>
    <row r="69" spans="1:9" ht="13.5" customHeight="1">
      <c r="A69" s="3" t="s">
        <v>109</v>
      </c>
      <c r="B69" s="12"/>
      <c r="C69" s="23"/>
      <c r="D69" s="23"/>
      <c r="E69" s="23"/>
      <c r="F69" s="23"/>
      <c r="G69" s="23"/>
      <c r="H69" s="8"/>
      <c r="I69" s="12"/>
    </row>
    <row r="70" spans="1:9" ht="13.5" customHeight="1">
      <c r="A70" s="2" t="s">
        <v>19</v>
      </c>
      <c r="B70" s="6"/>
      <c r="C70" s="63">
        <f>($L$6)*'gBytes per year'!C70</f>
        <v>0.025</v>
      </c>
      <c r="D70" s="63">
        <f>($L$6)*'gBytes per year'!D70</f>
        <v>1.25</v>
      </c>
      <c r="E70" s="63">
        <f>($L$6)*'gBytes per year'!E70</f>
        <v>75</v>
      </c>
      <c r="F70" s="63">
        <f>($L$6+$L$25)*'gBytes per year'!F70</f>
        <v>6693.75</v>
      </c>
      <c r="G70" s="23"/>
      <c r="H70" s="8"/>
      <c r="I70" s="20"/>
    </row>
    <row r="71" spans="1:9" ht="13.5" customHeight="1">
      <c r="A71" s="2" t="s">
        <v>108</v>
      </c>
      <c r="B71" s="6"/>
      <c r="C71" s="63">
        <f>($L$6)*'gBytes per year'!C71</f>
        <v>0.15625</v>
      </c>
      <c r="D71" s="63">
        <f>($L$6)*'gBytes per year'!D71</f>
        <v>7.8125</v>
      </c>
      <c r="E71" s="63">
        <f>($L$6)*'gBytes per year'!E71</f>
        <v>468.75</v>
      </c>
      <c r="F71" s="63">
        <f>($L$6+$L$25)*'gBytes per year'!F71</f>
        <v>31875</v>
      </c>
      <c r="G71" s="23"/>
      <c r="H71" s="8"/>
      <c r="I71" s="20"/>
    </row>
    <row r="72" spans="1:9" ht="13.5" customHeight="1">
      <c r="A72" s="2"/>
      <c r="B72" s="12"/>
      <c r="C72" s="23"/>
      <c r="D72" s="23"/>
      <c r="E72" s="23"/>
      <c r="F72" s="23"/>
      <c r="G72" s="23"/>
      <c r="H72" s="8"/>
      <c r="I72" s="12"/>
    </row>
    <row r="73" spans="1:9" ht="13.5" customHeight="1">
      <c r="A73" s="3" t="s">
        <v>110</v>
      </c>
      <c r="B73" s="12"/>
      <c r="C73" s="23"/>
      <c r="D73" s="23"/>
      <c r="E73" s="23"/>
      <c r="F73" s="23"/>
      <c r="G73" s="23"/>
      <c r="H73" s="8"/>
      <c r="I73" s="12"/>
    </row>
    <row r="74" spans="1:9" ht="13.5" customHeight="1">
      <c r="A74" s="2" t="s">
        <v>19</v>
      </c>
      <c r="B74" s="6"/>
      <c r="C74" s="63">
        <f>($L$6)*'gBytes per year'!C74</f>
        <v>0.0365</v>
      </c>
      <c r="D74" s="63">
        <f>($L$6)*'gBytes per year'!D74</f>
        <v>2.7375000000000003</v>
      </c>
      <c r="E74" s="63">
        <f>($L$6)*'gBytes per year'!E74</f>
        <v>73</v>
      </c>
      <c r="F74" s="63">
        <f>($L$6+$L$25)*'gBytes per year'!F74</f>
        <v>4886.4375</v>
      </c>
      <c r="G74" s="23"/>
      <c r="H74" s="8"/>
      <c r="I74" s="20"/>
    </row>
    <row r="75" spans="1:9" ht="13.5" customHeight="1">
      <c r="A75" s="2" t="s">
        <v>108</v>
      </c>
      <c r="B75" s="6"/>
      <c r="C75" s="63">
        <f>($L$6)*'gBytes per year'!C75</f>
        <v>0.22812500000000002</v>
      </c>
      <c r="D75" s="63">
        <f>($L$6)*'gBytes per year'!D75</f>
        <v>17.109375</v>
      </c>
      <c r="E75" s="63">
        <f>($L$6)*'gBytes per year'!E75</f>
        <v>456.25</v>
      </c>
      <c r="F75" s="63">
        <f>($L$6+$L$25)*'gBytes per year'!F75</f>
        <v>23268.75</v>
      </c>
      <c r="G75" s="23"/>
      <c r="H75" s="6"/>
      <c r="I75" s="20"/>
    </row>
    <row r="76" spans="1:9" ht="13.5" customHeight="1">
      <c r="A76" s="2"/>
      <c r="B76" s="12"/>
      <c r="C76" s="24"/>
      <c r="D76" s="24"/>
      <c r="E76" s="24"/>
      <c r="F76" s="24"/>
      <c r="G76" s="23"/>
      <c r="H76" s="8"/>
      <c r="I76" s="12"/>
    </row>
    <row r="77" spans="1:9" ht="13.5" customHeight="1">
      <c r="A77" s="3" t="s">
        <v>120</v>
      </c>
      <c r="B77" s="12"/>
      <c r="C77" s="23"/>
      <c r="D77" s="23"/>
      <c r="E77" s="23"/>
      <c r="F77" s="23"/>
      <c r="G77" s="23"/>
      <c r="H77" s="8"/>
      <c r="I77" s="12"/>
    </row>
    <row r="78" spans="1:9" ht="13.5" customHeight="1">
      <c r="A78" s="2" t="s">
        <v>19</v>
      </c>
      <c r="B78" s="6"/>
      <c r="C78" s="65">
        <f>C66+C70+C74</f>
        <v>0.07150000000000001</v>
      </c>
      <c r="D78" s="65">
        <f aca="true" t="shared" si="1" ref="D78:F79">D66+D70+D74</f>
        <v>4.237500000000001</v>
      </c>
      <c r="E78" s="65">
        <f t="shared" si="1"/>
        <v>198</v>
      </c>
      <c r="F78" s="65">
        <f t="shared" si="1"/>
        <v>18273.9375</v>
      </c>
      <c r="G78" s="23"/>
      <c r="H78" s="8"/>
      <c r="I78" s="8"/>
    </row>
    <row r="79" spans="1:9" ht="13.5" customHeight="1">
      <c r="A79" s="2" t="s">
        <v>108</v>
      </c>
      <c r="B79" s="6"/>
      <c r="C79" s="65">
        <f>C67+C71+C75</f>
        <v>0.45937500000000003</v>
      </c>
      <c r="D79" s="65">
        <f t="shared" si="1"/>
        <v>26.796875</v>
      </c>
      <c r="E79" s="65">
        <f t="shared" si="1"/>
        <v>1300</v>
      </c>
      <c r="F79" s="65">
        <f t="shared" si="1"/>
        <v>93393.75</v>
      </c>
      <c r="G79" s="23"/>
      <c r="H79" s="7"/>
      <c r="I79" s="8"/>
    </row>
    <row r="80" spans="1:9" ht="13.5" customHeight="1">
      <c r="A80" s="2"/>
      <c r="B80" s="12"/>
      <c r="C80" s="12"/>
      <c r="D80" s="12"/>
      <c r="E80" s="12"/>
      <c r="F80" s="12"/>
      <c r="G80" s="12"/>
      <c r="H80" s="7"/>
      <c r="I80" s="12"/>
    </row>
    <row r="81" spans="1:9" ht="13.5" customHeight="1">
      <c r="A81" s="3" t="s">
        <v>119</v>
      </c>
      <c r="B81" s="12"/>
      <c r="C81" s="12"/>
      <c r="D81" s="12"/>
      <c r="E81" s="12"/>
      <c r="F81" s="12"/>
      <c r="G81" s="12"/>
      <c r="H81" s="7"/>
      <c r="I81" s="12"/>
    </row>
    <row r="82" spans="1:9" ht="13.5" customHeight="1">
      <c r="A82" s="2" t="s">
        <v>117</v>
      </c>
      <c r="B82" s="6"/>
      <c r="C82" s="68">
        <f>($L$6)*'gBytes per year'!C82</f>
        <v>0.00021449999999999998</v>
      </c>
      <c r="D82" s="67">
        <f>($L$6)*'gBytes per year'!D82</f>
        <v>0.012712500000000002</v>
      </c>
      <c r="E82" s="67">
        <f>($L$6)*'gBytes per year'!E82</f>
        <v>0.5940000000000001</v>
      </c>
      <c r="F82" s="67">
        <f>($L$6)*'gBytes per year'!F82</f>
        <v>21.49875</v>
      </c>
      <c r="G82" s="8"/>
      <c r="H82" s="7"/>
      <c r="I82" s="20"/>
    </row>
    <row r="83" spans="1:9" ht="13.5" customHeight="1">
      <c r="A83" s="2" t="s">
        <v>118</v>
      </c>
      <c r="B83" s="6"/>
      <c r="C83" s="68">
        <f>($L$6)*'gBytes per year'!C83</f>
        <v>0.001378125</v>
      </c>
      <c r="D83" s="67">
        <f>($L$6)*'gBytes per year'!D83</f>
        <v>0.08039062500000001</v>
      </c>
      <c r="E83" s="67">
        <f>($L$6)*'gBytes per year'!E83</f>
        <v>3.9000000000000004</v>
      </c>
      <c r="F83" s="67">
        <f>($L$6)*'gBytes per year'!F83</f>
        <v>109.875</v>
      </c>
      <c r="G83" s="8"/>
      <c r="H83" s="7"/>
      <c r="I83" s="20"/>
    </row>
    <row r="84" spans="3:6" ht="13.5" customHeight="1">
      <c r="C84" s="66"/>
      <c r="D84" s="66"/>
      <c r="E84" s="66"/>
      <c r="F84" s="66"/>
    </row>
  </sheetData>
  <sheetProtection/>
  <mergeCells count="2">
    <mergeCell ref="A1:E1"/>
    <mergeCell ref="A25:D25"/>
  </mergeCells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mary.ladd</cp:lastModifiedBy>
  <dcterms:created xsi:type="dcterms:W3CDTF">2010-01-27T13:56:31Z</dcterms:created>
  <dcterms:modified xsi:type="dcterms:W3CDTF">2010-02-18T19:50:12Z</dcterms:modified>
  <cp:category/>
  <cp:version/>
  <cp:contentType/>
  <cp:contentStatus/>
</cp:coreProperties>
</file>